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 &amp; Sources" sheetId="2" state="visible" r:id="rId2"/>
    <sheet name="Historical" sheetId="3" state="visible" r:id="rId3"/>
    <sheet name="Drivers" sheetId="4" state="visible" r:id="rId4"/>
    <sheet name="Income Statement" sheetId="5" state="visible" r:id="rId5"/>
    <sheet name="Balance Sheet" sheetId="6" state="visible" r:id="rId6"/>
    <sheet name="Cash Flow" sheetId="7" state="visible" r:id="rId7"/>
    <sheet name="Capex &amp; Funding" sheetId="8" state="visible" r:id="rId8"/>
    <sheet name="Valuation" sheetId="9" state="visible" r:id="rId9"/>
    <sheet name="Scenarios" sheetId="10" state="visible" r:id="rId10"/>
    <sheet name="Check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$#,##0.00_);($#,##0.00);&quot;–&quot;_)"/>
    <numFmt numFmtId="165" formatCode="#,##0.0_);(#,##0.0);&quot;–&quot;_)"/>
    <numFmt numFmtId="166" formatCode="0.000%"/>
    <numFmt numFmtId="167" formatCode="0.0%_);(0.0%);&quot;–&quot;_)"/>
    <numFmt numFmtId="168" formatCode="0.0"/>
    <numFmt numFmtId="169" formatCode="#,##0_);(#,##0);&quot;–&quot;_)"/>
    <numFmt numFmtId="170" formatCode="0.0%"/>
    <numFmt numFmtId="171" formatCode="0.0&quot;x&quot;"/>
    <numFmt numFmtId="172" formatCode="0.0&quot;x&quot;_);(0.0&quot;x&quot;);&quot;–&quot;_)"/>
    <numFmt numFmtId="173" formatCode="0.000"/>
  </numFmts>
  <fonts count="10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7F7F7F"/>
      <sz val="10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color rgb="007F7F7F"/>
      <sz val="10"/>
    </font>
    <font>
      <name val="Arial"/>
      <b val="1"/>
      <color rgb="000000FF"/>
      <sz val="10"/>
    </font>
    <font>
      <name val="Arial"/>
      <color rgb="001F4E79"/>
      <sz val="10"/>
      <u val="single"/>
    </font>
  </fonts>
  <fills count="5">
    <fill>
      <patternFill/>
    </fill>
    <fill>
      <patternFill patternType="gray125"/>
    </fill>
    <fill>
      <patternFill patternType="solid">
        <fgColor rgb="00DCE3EE"/>
      </patternFill>
    </fill>
    <fill>
      <patternFill patternType="solid">
        <fgColor rgb="001F2A4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3" fillId="4" borderId="0" pivotButton="0" quotePrefix="0" xfId="0"/>
    <xf numFmtId="0" fontId="7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4" fontId="5" fillId="0" borderId="0" pivotButton="0" quotePrefix="0" xfId="0"/>
    <xf numFmtId="170" fontId="5" fillId="0" borderId="0" pivotButton="0" quotePrefix="0" xfId="0"/>
    <xf numFmtId="169" fontId="5" fillId="0" borderId="0" pivotButton="0" quotePrefix="0" xfId="0"/>
    <xf numFmtId="0" fontId="4" fillId="3" borderId="0" pivotButton="0" quotePrefix="0" xfId="0"/>
    <xf numFmtId="167" fontId="5" fillId="0" borderId="0" pivotButton="0" quotePrefix="0" xfId="0"/>
    <xf numFmtId="0" fontId="9" fillId="0" borderId="0" pivotButton="0" quotePrefix="0" xfId="0"/>
    <xf numFmtId="0" fontId="6" fillId="0" borderId="0" pivotButton="0" quotePrefix="0" xfId="0"/>
    <xf numFmtId="0" fontId="5" fillId="4" borderId="0" pivotButton="0" quotePrefix="0" xfId="0"/>
    <xf numFmtId="0" fontId="4" fillId="3" borderId="0" applyAlignment="1" pivotButton="0" quotePrefix="0" xfId="0">
      <alignment horizontal="center"/>
    </xf>
    <xf numFmtId="164" fontId="6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7" fontId="6" fillId="0" borderId="0" pivotButton="0" quotePrefix="0" xfId="0"/>
    <xf numFmtId="168" fontId="6" fillId="0" borderId="0" pivotButton="0" quotePrefix="0" xfId="0"/>
    <xf numFmtId="169" fontId="6" fillId="0" borderId="0" pivotButton="0" quotePrefix="0" xfId="0"/>
    <xf numFmtId="0" fontId="7" fillId="0" borderId="0" applyAlignment="1" pivotButton="0" quotePrefix="0" xfId="0">
      <alignment horizontal="right"/>
    </xf>
    <xf numFmtId="10" fontId="6" fillId="0" borderId="0" pivotButton="0" quotePrefix="0" xfId="0"/>
    <xf numFmtId="2" fontId="6" fillId="0" borderId="0" pivotButton="0" quotePrefix="0" xfId="0"/>
    <xf numFmtId="165" fontId="3" fillId="0" borderId="0" pivotButton="0" quotePrefix="0" xfId="0"/>
    <xf numFmtId="165" fontId="5" fillId="0" borderId="0" pivotButton="0" quotePrefix="0" xfId="0"/>
    <xf numFmtId="172" fontId="5" fillId="0" borderId="0" pivotButton="0" quotePrefix="0" xfId="0"/>
    <xf numFmtId="0" fontId="5" fillId="3" borderId="0" pivotButton="0" quotePrefix="0" xfId="0"/>
    <xf numFmtId="165" fontId="3" fillId="4" borderId="0" pivotButton="0" quotePrefix="0" xfId="0"/>
    <xf numFmtId="166" fontId="5" fillId="0" borderId="0" pivotButton="0" quotePrefix="0" xfId="0"/>
    <xf numFmtId="1" fontId="5" fillId="0" borderId="0" pivotButton="0" quotePrefix="0" xfId="0"/>
    <xf numFmtId="172" fontId="3" fillId="0" borderId="0" pivotButton="0" quotePrefix="0" xfId="0"/>
    <xf numFmtId="10" fontId="5" fillId="0" borderId="0" pivotButton="0" quotePrefix="0" xfId="0"/>
    <xf numFmtId="10" fontId="3" fillId="0" borderId="0" pivotButton="0" quotePrefix="0" xfId="0"/>
    <xf numFmtId="173" fontId="5" fillId="0" borderId="0" pivotButton="0" quotePrefix="0" xfId="0"/>
    <xf numFmtId="171" fontId="5" fillId="0" borderId="0" pivotButton="0" quotePrefix="0" xfId="0"/>
    <xf numFmtId="1" fontId="6" fillId="0" borderId="0" pivotButton="0" quotePrefix="0" xfId="0"/>
    <xf numFmtId="164" fontId="3" fillId="4" borderId="0" pivotButton="0" quotePrefix="0" xfId="0"/>
    <xf numFmtId="170" fontId="3" fillId="0" borderId="0" pivotButton="0" quotePrefix="0" xfId="0"/>
    <xf numFmtId="170" fontId="6" fillId="0" borderId="0" pivotButton="0" quotePrefix="0" xfId="0"/>
    <xf numFmtId="171" fontId="8" fillId="0" borderId="0" pivotButton="0" quotePrefix="0" xfId="0"/>
    <xf numFmtId="1" fontId="8" fillId="4" borderId="0" pivotButton="0" quotePrefix="0" xfId="0"/>
    <xf numFmtId="2" fontId="3" fillId="0" borderId="0" pivotButton="0" quotePrefix="0" xfId="0"/>
    <xf numFmtId="171" fontId="6" fillId="0" borderId="0" pivotButton="0" quotePrefix="0" xfId="0"/>
    <xf numFmtId="171" fontId="3" fillId="0" borderId="0" pivotButton="0" quotePrefix="0" xfId="0"/>
    <xf numFmtId="169" fontId="2" fillId="0" borderId="0" pivotButton="0" quotePrefix="0" xfId="0"/>
    <xf numFmtId="17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puts &amp; Sources'!A1" TargetMode="External" Id="rId1" /><Relationship Type="http://schemas.openxmlformats.org/officeDocument/2006/relationships/hyperlink" Target="#'Historical'!A1" TargetMode="External" Id="rId2" /><Relationship Type="http://schemas.openxmlformats.org/officeDocument/2006/relationships/hyperlink" Target="#'Drivers'!A1" TargetMode="External" Id="rId3" /><Relationship Type="http://schemas.openxmlformats.org/officeDocument/2006/relationships/hyperlink" Target="#'Income Statement'!A1" TargetMode="External" Id="rId4" /><Relationship Type="http://schemas.openxmlformats.org/officeDocument/2006/relationships/hyperlink" Target="#'Balance Sheet'!A1" TargetMode="External" Id="rId5" /><Relationship Type="http://schemas.openxmlformats.org/officeDocument/2006/relationships/hyperlink" Target="#'Cash Flow'!A1" TargetMode="External" Id="rId6" /><Relationship Type="http://schemas.openxmlformats.org/officeDocument/2006/relationships/hyperlink" Target="#'Capex &amp; Funding'!A1" TargetMode="External" Id="rId7" /><Relationship Type="http://schemas.openxmlformats.org/officeDocument/2006/relationships/hyperlink" Target="#'Valuation'!A1" TargetMode="External" Id="rId8" /><Relationship Type="http://schemas.openxmlformats.org/officeDocument/2006/relationships/hyperlink" Target="#'Scenarios'!A1" TargetMode="External" Id="rId9" /><Relationship Type="http://schemas.openxmlformats.org/officeDocument/2006/relationships/hyperlink" Target="#'Checks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70" customWidth="1" min="7" max="7"/>
  </cols>
  <sheetData>
    <row r="1">
      <c r="A1" s="1" t="inlineStr">
        <is>
          <t>Nebius Group N.V. (Nasdaq: NBIS) - Three-statement model, scenarios &amp; valuation</t>
        </is>
      </c>
    </row>
    <row r="2">
      <c r="A2" s="2" t="inlineStr">
        <is>
          <t>Prepared by Inha Seo | Practice analysis using public information; not investment advice. | Data as of 2026-10-14 (latest filing: Q2-26 6-K, Aug 12, 2026)</t>
        </is>
      </c>
    </row>
    <row r="3">
      <c r="A3" s="2" t="inlineStr">
        <is>
          <t>Built with openpyxl: every output is a live Excel formula and recalculates on open (Excel: automatic calc). File may look blank in previewers that do not calculate.</t>
        </is>
      </c>
    </row>
    <row r="5">
      <c r="A5" s="3" t="inlineStr">
        <is>
          <t>Key outputs (live)</t>
        </is>
      </c>
      <c r="B5" s="4" t="n"/>
      <c r="C5" s="4" t="n"/>
      <c r="D5" s="4" t="n"/>
      <c r="E5" s="4" t="n"/>
      <c r="F5" s="4" t="n"/>
      <c r="G5" s="4" t="n"/>
    </row>
    <row r="6">
      <c r="A6" s="5" t="inlineStr">
        <is>
          <t>Active scenario</t>
        </is>
      </c>
      <c r="B6" s="6">
        <f>'Scenarios'!$D$4</f>
        <v/>
      </c>
      <c r="G6" s="7" t="inlineStr">
        <is>
          <t>Change on Scenarios!C4 (1 Bear / 2 Base / 3 Bull).</t>
        </is>
      </c>
    </row>
    <row r="7">
      <c r="A7" s="5" t="inlineStr">
        <is>
          <t>Model integrity (hard checks)</t>
        </is>
      </c>
      <c r="B7" s="8">
        <f>'Checks'!C23</f>
        <v/>
      </c>
    </row>
    <row r="8">
      <c r="A8" s="5" t="inlineStr">
        <is>
          <t>DCF value per share</t>
        </is>
      </c>
      <c r="B8" s="9">
        <f>'Valuation'!B70</f>
        <v/>
      </c>
    </row>
    <row r="9">
      <c r="A9" s="5" t="inlineStr">
        <is>
          <t>Share price (2026-10-14)</t>
        </is>
      </c>
      <c r="B9" s="10">
        <f>'Inputs &amp; Sources'!$B$6</f>
        <v/>
      </c>
    </row>
    <row r="10">
      <c r="A10" s="5" t="inlineStr">
        <is>
          <t>Upside / (downside)</t>
        </is>
      </c>
      <c r="B10" s="11">
        <f>'Valuation'!B71</f>
        <v/>
      </c>
    </row>
    <row r="11">
      <c r="A11" s="5" t="inlineStr">
        <is>
          <t>Pro forma EV at market ($M)</t>
        </is>
      </c>
      <c r="B11" s="12">
        <f>'Valuation'!B15</f>
        <v/>
      </c>
    </row>
    <row r="13">
      <c r="A13" s="13" t="inlineStr">
        <is>
          <t>$M</t>
        </is>
      </c>
      <c r="B13" s="13" t="inlineStr"/>
      <c r="C13" s="13" t="inlineStr">
        <is>
          <t>FY2026E</t>
        </is>
      </c>
      <c r="D13" s="13" t="inlineStr">
        <is>
          <t>FY2027E</t>
        </is>
      </c>
      <c r="E13" s="13" t="inlineStr">
        <is>
          <t>FY2028E</t>
        </is>
      </c>
      <c r="F13" s="13" t="inlineStr">
        <is>
          <t>FY2029E</t>
        </is>
      </c>
    </row>
    <row r="14">
      <c r="A14" s="5" t="inlineStr">
        <is>
          <t>Revenue</t>
        </is>
      </c>
      <c r="C14" s="12">
        <f>'Income Statement'!N7</f>
        <v/>
      </c>
      <c r="D14" s="12">
        <f>'Income Statement'!O7</f>
        <v/>
      </c>
      <c r="E14" s="12">
        <f>'Income Statement'!P7</f>
        <v/>
      </c>
      <c r="F14" s="12">
        <f>'Income Statement'!Q7</f>
        <v/>
      </c>
    </row>
    <row r="15">
      <c r="A15" s="5" t="inlineStr">
        <is>
          <t>Adj. EBITDA</t>
        </is>
      </c>
      <c r="C15" s="12">
        <f>'Income Statement'!N11</f>
        <v/>
      </c>
      <c r="D15" s="12">
        <f>'Income Statement'!O11</f>
        <v/>
      </c>
      <c r="E15" s="12">
        <f>'Income Statement'!P11</f>
        <v/>
      </c>
      <c r="F15" s="12">
        <f>'Income Statement'!Q11</f>
        <v/>
      </c>
    </row>
    <row r="16">
      <c r="A16" s="5" t="inlineStr">
        <is>
          <t>Adj. EBITDA margin</t>
        </is>
      </c>
      <c r="C16" s="14">
        <f>'Income Statement'!N12</f>
        <v/>
      </c>
      <c r="D16" s="14">
        <f>'Income Statement'!O12</f>
        <v/>
      </c>
      <c r="E16" s="14">
        <f>'Income Statement'!P12</f>
        <v/>
      </c>
      <c r="F16" s="14">
        <f>'Income Statement'!Q12</f>
        <v/>
      </c>
    </row>
    <row r="17">
      <c r="A17" s="5" t="inlineStr">
        <is>
          <t>Capex</t>
        </is>
      </c>
      <c r="C17" s="12">
        <f>'Capex &amp; Funding'!N6</f>
        <v/>
      </c>
      <c r="D17" s="12">
        <f>'Capex &amp; Funding'!O6</f>
        <v/>
      </c>
      <c r="E17" s="12">
        <f>'Capex &amp; Funding'!P6</f>
        <v/>
      </c>
      <c r="F17" s="12">
        <f>'Capex &amp; Funding'!Q6</f>
        <v/>
      </c>
    </row>
    <row r="18">
      <c r="A18" s="5" t="inlineStr">
        <is>
          <t>Free cash flow</t>
        </is>
      </c>
      <c r="C18" s="12">
        <f>'Cash Flow'!N27</f>
        <v/>
      </c>
      <c r="D18" s="12">
        <f>'Cash Flow'!O27</f>
        <v/>
      </c>
      <c r="E18" s="12">
        <f>'Cash Flow'!P27</f>
        <v/>
      </c>
      <c r="F18" s="12">
        <f>'Cash Flow'!Q27</f>
        <v/>
      </c>
    </row>
    <row r="19">
      <c r="A19" s="5" t="inlineStr">
        <is>
          <t>Exit ARR</t>
        </is>
      </c>
      <c r="C19" s="12">
        <f>'Drivers'!N28</f>
        <v/>
      </c>
      <c r="D19" s="12">
        <f>'Drivers'!O28</f>
        <v/>
      </c>
      <c r="E19" s="12">
        <f>'Drivers'!P28</f>
        <v/>
      </c>
      <c r="F19" s="12">
        <f>'Drivers'!Q28</f>
        <v/>
      </c>
    </row>
    <row r="20">
      <c r="A20" s="5" t="inlineStr">
        <is>
          <t>Net debt (year-end)</t>
        </is>
      </c>
      <c r="C20" s="12">
        <f>'Balance Sheet'!N26</f>
        <v/>
      </c>
      <c r="D20" s="12">
        <f>'Balance Sheet'!O26</f>
        <v/>
      </c>
      <c r="E20" s="12">
        <f>'Balance Sheet'!P26</f>
        <v/>
      </c>
      <c r="F20" s="12">
        <f>'Balance Sheet'!Q26</f>
        <v/>
      </c>
    </row>
    <row r="22">
      <c r="A22" s="3" t="inlineStr">
        <is>
          <t>Sheet index</t>
        </is>
      </c>
      <c r="B22" s="4" t="n"/>
      <c r="C22" s="4" t="n"/>
      <c r="D22" s="4" t="n"/>
      <c r="E22" s="4" t="n"/>
      <c r="F22" s="4" t="n"/>
      <c r="G22" s="4" t="n"/>
    </row>
    <row r="23">
      <c r="A23" s="15" t="inlineStr">
        <is>
          <t>Inputs &amp; Sources</t>
        </is>
      </c>
      <c r="B23" s="5" t="inlineStr">
        <is>
          <t>Every sourced fact: market data, capital structure (convert tranches), FY26 guidance, historical financials, Jun-26 balance sheet, comps, rates, source register (S1-S21).</t>
        </is>
      </c>
    </row>
    <row r="24">
      <c r="A24" s="15" t="inlineStr">
        <is>
          <t>Historical</t>
        </is>
      </c>
      <c r="B24" s="5" t="inlineStr">
        <is>
          <t>Q1'25-Q2'26 + FY24/FY25: margins, growth, FCF, capex intensity; tie-outs to reported totals.</t>
        </is>
      </c>
    </row>
    <row r="25">
      <c r="A25" s="15" t="inlineStr">
        <is>
          <t>Drivers</t>
        </is>
      </c>
      <c r="B25" s="5" t="inlineStr">
        <is>
          <t>Operating engine: revenue-generating MW -&gt; GPUs -&gt; GPU-hours x utilization x $/GPU-hr; cost ratios; capex/MW and timing; prepayments; financing assumptions.</t>
        </is>
      </c>
    </row>
    <row r="26">
      <c r="A26" s="15" t="inlineStr">
        <is>
          <t>Income Statement</t>
        </is>
      </c>
      <c r="B26" s="5" t="inlineStr">
        <is>
          <t>Income statement: Q3'26E-Q4'27E quarterly, FY28E-FY29E annual; FY2026E-FY2029E summary columns (N:Q).</t>
        </is>
      </c>
    </row>
    <row r="27">
      <c r="A27" s="15" t="inlineStr">
        <is>
          <t>Balance Sheet</t>
        </is>
      </c>
      <c r="B27" s="5" t="inlineStr">
        <is>
          <t>Balance sheet rolled from Jun-30-26 actual; balance check row.</t>
        </is>
      </c>
    </row>
    <row r="28">
      <c r="A28" s="15" t="inlineStr">
        <is>
          <t>Cash Flow</t>
        </is>
      </c>
      <c r="B28" s="5" t="inlineStr">
        <is>
          <t>Indirect cash flow; prepayment inflows vs recognition shown separately; FY2026E includes H1 actual.</t>
        </is>
      </c>
    </row>
    <row r="29">
      <c r="A29" s="15" t="inlineStr">
        <is>
          <t>Capex &amp; Funding</t>
        </is>
      </c>
      <c r="B29" s="5" t="inlineStr">
        <is>
          <t>PP&amp;E roll, deferred revenue roll, debt &amp; interest, min-cash funding waterfall (debt/equity split), share count, convert if-converted table, sources &amp; uses.</t>
        </is>
      </c>
    </row>
    <row r="30">
      <c r="A30" s="15" t="inlineStr">
        <is>
          <t>Valuation</t>
        </is>
      </c>
      <c r="B30" s="5" t="inlineStr">
        <is>
          <t>Pro forma EV, comps (CRWV, ORCL, IREN), WACC build, DCF with exit multiple + implied growth cross-check, WACC x multiple sensitivity.</t>
        </is>
      </c>
    </row>
    <row r="31">
      <c r="A31" s="15" t="inlineStr">
        <is>
          <t>Scenarios</t>
        </is>
      </c>
      <c r="B31" s="5" t="inlineStr">
        <is>
          <t>Bear/Base/Bull selector and parameters; live outputs; static snapshot of all three scenarios and one-at-a-time driver sensitivities.</t>
        </is>
      </c>
    </row>
    <row r="32">
      <c r="A32" s="15" t="inlineStr">
        <is>
          <t>Checks</t>
        </is>
      </c>
      <c r="B32" s="5" t="inlineStr">
        <is>
          <t>Hard integrity checks (must total 0) and guidance-alignment flags.</t>
        </is>
      </c>
    </row>
    <row r="34">
      <c r="A34" s="3" t="inlineStr">
        <is>
          <t>Conventions</t>
        </is>
      </c>
      <c r="B34" s="4" t="n"/>
      <c r="C34" s="4" t="n"/>
      <c r="D34" s="4" t="n"/>
      <c r="E34" s="4" t="n"/>
      <c r="F34" s="4" t="n"/>
      <c r="G34" s="4" t="n"/>
    </row>
    <row r="35">
      <c r="A35" s="16" t="inlineStr">
        <is>
          <t>Blue font</t>
        </is>
      </c>
      <c r="B35" s="5" t="inlineStr">
        <is>
          <t>Hard-coded input (sourced fact or labelled assumption)</t>
        </is>
      </c>
    </row>
    <row r="36">
      <c r="A36" s="5" t="inlineStr">
        <is>
          <t>Black font</t>
        </is>
      </c>
      <c r="B36" s="5" t="inlineStr">
        <is>
          <t>Formula</t>
        </is>
      </c>
    </row>
    <row r="37">
      <c r="A37" s="2" t="inlineStr">
        <is>
          <t>Grey italic</t>
        </is>
      </c>
      <c r="B37" s="5" t="inlineStr">
        <is>
          <t>Static snapshot values pasted from recalculation (Scenarios sheet only)</t>
        </is>
      </c>
    </row>
    <row r="38">
      <c r="A38" s="17" t="inlineStr">
        <is>
          <t>Yellow fill</t>
        </is>
      </c>
      <c r="B38" s="5" t="inlineStr">
        <is>
          <t>Key selector / output cells</t>
        </is>
      </c>
    </row>
    <row r="39">
      <c r="A39" s="5" t="inlineStr">
        <is>
          <t>Units</t>
        </is>
      </c>
      <c r="B39" s="5" t="inlineStr">
        <is>
          <t>$M unless noted; shares in millions; costs negative on the income statement</t>
        </is>
      </c>
    </row>
    <row r="40">
      <c r="A40" s="5" t="inlineStr">
        <is>
          <t>Periods</t>
        </is>
      </c>
      <c r="B40" s="5" t="inlineStr">
        <is>
          <t>Model columns D:K = Q3'26E..Q4'27E (quarterly), FY2028E, FY2029E. Summary N:Q = FY2026E..FY2029E. Fiscal year = calendar year.</t>
        </is>
      </c>
    </row>
  </sheetData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4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60" customWidth="1" min="12" max="12"/>
  </cols>
  <sheetData>
    <row r="1">
      <c r="A1" s="1" t="inlineStr">
        <is>
          <t>Inputs &amp; Sources</t>
        </is>
      </c>
    </row>
    <row r="2">
      <c r="A2" s="2" t="inlineStr">
        <is>
          <t>Every hard-coded fact used by the model, with source ID and date. Blue = input. $M unless noted. Source register at bottom of sheet.</t>
        </is>
      </c>
    </row>
    <row r="3"/>
    <row r="4">
      <c r="A4" s="3" t="inlineStr">
        <is>
          <t>A. Market data &amp; capital structure (point-in-time)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13" t="inlineStr">
        <is>
          <t>Item</t>
        </is>
      </c>
      <c r="B5" s="18" t="inlineStr">
        <is>
          <t>Value</t>
        </is>
      </c>
      <c r="C5" s="18" t="inlineStr">
        <is>
          <t>Unit</t>
        </is>
      </c>
      <c r="D5" s="18" t="inlineStr">
        <is>
          <t>Source</t>
        </is>
      </c>
      <c r="E5" s="18" t="inlineStr">
        <is>
          <t>As of</t>
        </is>
      </c>
      <c r="F5" s="18" t="inlineStr"/>
      <c r="G5" s="18" t="inlineStr"/>
      <c r="H5" s="18" t="inlineStr"/>
      <c r="I5" s="18" t="inlineStr"/>
      <c r="J5" s="18" t="inlineStr"/>
      <c r="K5" s="18" t="inlineStr"/>
      <c r="L5" s="18" t="inlineStr">
        <is>
          <t>Note</t>
        </is>
      </c>
    </row>
    <row r="6">
      <c r="A6" s="5" t="inlineStr">
        <is>
          <t>NBIS share price (close)</t>
        </is>
      </c>
      <c r="B6" s="19" t="n">
        <v>186.01</v>
      </c>
      <c r="C6" s="7" t="inlineStr">
        <is>
          <t>$/sh</t>
        </is>
      </c>
      <c r="D6" s="5" t="inlineStr">
        <is>
          <t>S14</t>
        </is>
      </c>
      <c r="E6" s="5" t="inlineStr">
        <is>
          <t>2026-10-14</t>
        </is>
      </c>
      <c r="L6" s="7" t="inlineStr">
        <is>
          <t>Valuation date. Stock fell 10% on Oct 14; prior close $206.86 (Oct 13). Highly volatile: re-point before use.</t>
        </is>
      </c>
    </row>
    <row r="7">
      <c r="A7" s="5" t="inlineStr">
        <is>
          <t>NBIS reference price at Aug-26 convert pricing</t>
        </is>
      </c>
      <c r="B7" s="19" t="n">
        <v>223.9</v>
      </c>
      <c r="C7" s="7" t="inlineStr">
        <is>
          <t>$/sh</t>
        </is>
      </c>
      <c r="D7" s="5" t="inlineStr">
        <is>
          <t>S7</t>
        </is>
      </c>
      <c r="E7" s="5" t="inlineStr">
        <is>
          <t>2026-08-19</t>
        </is>
      </c>
      <c r="L7" s="7" t="inlineStr">
        <is>
          <t>Used only as a cross-check of the price series.</t>
        </is>
      </c>
    </row>
    <row r="8">
      <c r="A8" s="5" t="inlineStr">
        <is>
          <t>Class A shares eligible to vote (AGM record date)</t>
        </is>
      </c>
      <c r="B8" s="20" t="n">
        <v>238.402543</v>
      </c>
      <c r="C8" s="7" t="inlineStr">
        <is>
          <t>M sh</t>
        </is>
      </c>
      <c r="D8" s="5" t="inlineStr">
        <is>
          <t>S9</t>
        </is>
      </c>
      <c r="E8" s="5" t="inlineStr">
        <is>
          <t>2026-08-26</t>
        </is>
      </c>
      <c r="L8" s="7" t="inlineStr">
        <is>
          <t>AGM results 6-K; record date precedes Aug-26 note exchange (assumption).</t>
        </is>
      </c>
    </row>
    <row r="9">
      <c r="A9" s="5" t="inlineStr">
        <is>
          <t>Class B shares eligible to vote (AGM record date)</t>
        </is>
      </c>
      <c r="B9" s="20" t="n">
        <v>33.455053</v>
      </c>
      <c r="C9" s="7" t="inlineStr">
        <is>
          <t>M sh</t>
        </is>
      </c>
      <c r="D9" s="5" t="inlineStr">
        <is>
          <t>S9</t>
        </is>
      </c>
      <c r="E9" s="5" t="inlineStr">
        <is>
          <t>2026-08-26</t>
        </is>
      </c>
      <c r="L9" s="7" t="inlineStr">
        <is>
          <t>Class B = 10 votes/share; economically equal.</t>
        </is>
      </c>
    </row>
    <row r="10">
      <c r="A10" s="5" t="inlineStr">
        <is>
          <t>Class A shares issued in Aug-26 note exchange</t>
        </is>
      </c>
      <c r="B10" s="20" t="n">
        <v>15.8</v>
      </c>
      <c r="C10" s="7" t="inlineStr">
        <is>
          <t>M sh</t>
        </is>
      </c>
      <c r="D10" s="5" t="inlineStr">
        <is>
          <t>S8</t>
        </is>
      </c>
      <c r="E10" s="5" t="inlineStr">
        <is>
          <t>2026-08-24</t>
        </is>
      </c>
      <c r="L10" s="7" t="inlineStr">
        <is>
          <t>Exchange of $400M 2029 + $400M 2031 notes for ~15.8M shares.</t>
        </is>
      </c>
    </row>
    <row r="11">
      <c r="A11" s="5" t="inlineStr">
        <is>
          <t>NVIDIA pre-funded warrant shares (exercise $0.0001)</t>
        </is>
      </c>
      <c r="B11" s="20" t="n">
        <v>21.065936</v>
      </c>
      <c r="C11" s="7" t="inlineStr">
        <is>
          <t>M sh</t>
        </is>
      </c>
      <c r="D11" s="5" t="inlineStr">
        <is>
          <t>S13</t>
        </is>
      </c>
      <c r="E11" s="5" t="inlineStr">
        <is>
          <t>2026-03-11</t>
        </is>
      </c>
      <c r="L11" s="7" t="inlineStr">
        <is>
          <t>Treated as outstanding (economically equivalent to shares).</t>
        </is>
      </c>
    </row>
    <row r="12">
      <c r="A12" s="5" t="inlineStr">
        <is>
          <t>ARR at Jun-30-26 (AI cloud, last month x12)</t>
        </is>
      </c>
      <c r="B12" s="20" t="n">
        <v>3000</v>
      </c>
      <c r="C12" s="7" t="inlineStr">
        <is>
          <t>$M</t>
        </is>
      </c>
      <c r="D12" s="5" t="inlineStr">
        <is>
          <t>S2</t>
        </is>
      </c>
      <c r="E12" s="5" t="inlineStr">
        <is>
          <t>2026-08-12</t>
        </is>
      </c>
      <c r="L12" s="7" t="inlineStr">
        <is>
          <t>Anchors revenue-generating MW at Jun-26 in Drivers.</t>
        </is>
      </c>
    </row>
    <row r="13">
      <c r="A13" s="5" t="inlineStr">
        <is>
          <t>Aug-26 convertible notes, gross principal</t>
        </is>
      </c>
      <c r="B13" s="20" t="n">
        <v>5750</v>
      </c>
      <c r="C13" s="7" t="inlineStr">
        <is>
          <t>$M</t>
        </is>
      </c>
      <c r="D13" s="5" t="inlineStr">
        <is>
          <t>S8</t>
        </is>
      </c>
      <c r="E13" s="5" t="inlineStr">
        <is>
          <t>2026-08-24</t>
        </is>
      </c>
      <c r="L13" s="7" t="inlineStr">
        <is>
          <t>$3.45B 0.50% 2030 + $2.30B 4.50% 2034 (incl. options exercised).</t>
        </is>
      </c>
    </row>
    <row r="14">
      <c r="A14" s="5" t="inlineStr">
        <is>
          <t>Aug-26 convertible notes, est. net proceeds</t>
        </is>
      </c>
      <c r="B14" s="20" t="n">
        <v>5680</v>
      </c>
      <c r="C14" s="7" t="inlineStr">
        <is>
          <t>$M</t>
        </is>
      </c>
      <c r="D14" s="5" t="inlineStr">
        <is>
          <t>S7</t>
        </is>
      </c>
      <c r="E14" s="5" t="inlineStr">
        <is>
          <t>2026-08-20</t>
        </is>
      </c>
      <c r="L14" s="7" t="inlineStr">
        <is>
          <t>Company estimate if options exercised in full (they were, per S8).</t>
        </is>
      </c>
    </row>
    <row r="15">
      <c r="A15" s="5" t="inlineStr">
        <is>
          <t>Asset-backed secured facility (Jul-26)</t>
        </is>
      </c>
      <c r="B15" s="20" t="n">
        <v>775</v>
      </c>
      <c r="C15" s="7" t="inlineStr">
        <is>
          <t>$M</t>
        </is>
      </c>
      <c r="D15" s="5" t="inlineStr">
        <is>
          <t>S2</t>
        </is>
      </c>
      <c r="E15" s="5" t="inlineStr">
        <is>
          <t>2026-08-12</t>
        </is>
      </c>
      <c r="L15" s="7" t="inlineStr">
        <is>
          <t>SOFR + 2.50%; backed by deployed GPUs + IG customer contract.</t>
        </is>
      </c>
    </row>
    <row r="16">
      <c r="A16" s="5" t="inlineStr">
        <is>
          <t>Convertible principal exchanged for shares (Aug-26)</t>
        </is>
      </c>
      <c r="B16" s="20" t="n">
        <v>800</v>
      </c>
      <c r="C16" s="7" t="inlineStr">
        <is>
          <t>$M</t>
        </is>
      </c>
      <c r="D16" s="5" t="inlineStr">
        <is>
          <t>S8</t>
        </is>
      </c>
      <c r="E16" s="5" t="inlineStr">
        <is>
          <t>2026-08-24</t>
        </is>
      </c>
      <c r="L16" s="7" t="inlineStr">
        <is>
          <t>Non-cash: debt -&gt; equity.</t>
        </is>
      </c>
    </row>
    <row r="17">
      <c r="A17" s="5" t="inlineStr">
        <is>
          <t>ATM shares remaining available (Jun-30-26)</t>
        </is>
      </c>
      <c r="B17" s="20" t="n">
        <v>12.3</v>
      </c>
      <c r="C17" s="7" t="inlineStr">
        <is>
          <t>M sh</t>
        </is>
      </c>
      <c r="D17" s="5" t="inlineStr">
        <is>
          <t>S2</t>
        </is>
      </c>
      <c r="E17" s="5" t="inlineStr">
        <is>
          <t>2026-08-12</t>
        </is>
      </c>
      <c r="L17" s="7" t="inlineStr">
        <is>
          <t>12.7M sold in H1-26 at $223.6 avg (~$2.8B gross).</t>
        </is>
      </c>
    </row>
    <row r="18">
      <c r="A18" s="5" t="inlineStr">
        <is>
          <t>Third-party headline EV for NBIS (memo only)</t>
        </is>
      </c>
      <c r="B18" s="20" t="n">
        <v>53140</v>
      </c>
      <c r="C18" s="7" t="inlineStr">
        <is>
          <t>$M</t>
        </is>
      </c>
      <c r="D18" s="5" t="inlineStr">
        <is>
          <t>S14</t>
        </is>
      </c>
      <c r="E18" s="5" t="inlineStr">
        <is>
          <t>2026-10-14</t>
        </is>
      </c>
      <c r="L18" s="7" t="inlineStr">
        <is>
          <t>stockanalysis.com; includes leases, excludes Jul/Aug financing. Not used in calcs.</t>
        </is>
      </c>
    </row>
    <row r="19"/>
    <row r="20">
      <c r="A20" s="3" t="inlineStr">
        <is>
          <t>B. Convertible notes &amp; secured debt (tranche detail)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13" t="inlineStr">
        <is>
          <t>Tranche</t>
        </is>
      </c>
      <c r="B21" s="18" t="inlineStr">
        <is>
          <t>Principal now</t>
        </is>
      </c>
      <c r="C21" s="18" t="inlineStr">
        <is>
          <t>Coupon</t>
        </is>
      </c>
      <c r="D21" s="18" t="inlineStr">
        <is>
          <t>Conv. price</t>
        </is>
      </c>
      <c r="E21" s="18" t="inlineStr">
        <is>
          <t>Source</t>
        </is>
      </c>
      <c r="F21" s="18" t="inlineStr">
        <is>
          <t>Principal at Jun-30-26</t>
        </is>
      </c>
      <c r="G21" s="18" t="inlineStr"/>
      <c r="H21" s="18" t="inlineStr"/>
      <c r="I21" s="18" t="inlineStr"/>
      <c r="J21" s="18" t="inlineStr"/>
      <c r="K21" s="18" t="inlineStr"/>
      <c r="L21" s="18" t="inlineStr">
        <is>
          <t>Note</t>
        </is>
      </c>
    </row>
    <row r="22">
      <c r="A22" s="5" t="inlineStr">
        <is>
          <t>2.00% conv. notes due Jun-2029</t>
        </is>
      </c>
      <c r="B22" s="20" t="n">
        <v>100</v>
      </c>
      <c r="C22" s="21" t="n">
        <v>0.02</v>
      </c>
      <c r="D22" s="19" t="n">
        <v>51.45</v>
      </c>
      <c r="E22" s="5" t="inlineStr">
        <is>
          <t>S10, S8</t>
        </is>
      </c>
      <c r="F22" s="20" t="n">
        <v>500</v>
      </c>
      <c r="L22" s="7" t="inlineStr">
        <is>
          <t>Orig $500M; $400M exchanged Aug-26.</t>
        </is>
      </c>
    </row>
    <row r="23">
      <c r="A23" s="5" t="inlineStr">
        <is>
          <t>3.00% conv. notes due Jun-2031</t>
        </is>
      </c>
      <c r="B23" s="20" t="n">
        <v>100</v>
      </c>
      <c r="C23" s="21" t="n">
        <v>0.03</v>
      </c>
      <c r="D23" s="19" t="n">
        <v>51.45</v>
      </c>
      <c r="E23" s="5" t="inlineStr">
        <is>
          <t>S10, S8</t>
        </is>
      </c>
      <c r="F23" s="20" t="n">
        <v>500</v>
      </c>
      <c r="L23" s="7" t="inlineStr">
        <is>
          <t>Orig $500M; $400M exchanged Aug-26.</t>
        </is>
      </c>
    </row>
    <row r="24">
      <c r="A24" s="5" t="inlineStr">
        <is>
          <t>1.00% conv. notes due Sep-2030</t>
        </is>
      </c>
      <c r="B24" s="20" t="n">
        <v>1581.25</v>
      </c>
      <c r="C24" s="21" t="n">
        <v>0.01</v>
      </c>
      <c r="D24" s="19" t="n">
        <v>138.75</v>
      </c>
      <c r="E24" s="5" t="inlineStr">
        <is>
          <t>S11, S4</t>
        </is>
      </c>
      <c r="F24" s="20" t="n">
        <v>1581.25</v>
      </c>
      <c r="L24" s="7" t="inlineStr">
        <is>
          <t>$1.375B + $206.25M option. FY25 CF shows $4,162.5M conv. proceeds =&gt; options fully exercised. Accretes to 115%.</t>
        </is>
      </c>
    </row>
    <row r="25">
      <c r="A25" s="5" t="inlineStr">
        <is>
          <t>2.75% conv. notes due Sep-2032</t>
        </is>
      </c>
      <c r="B25" s="20" t="n">
        <v>1581.25</v>
      </c>
      <c r="C25" s="21" t="n">
        <v>0.0275</v>
      </c>
      <c r="D25" s="19" t="n">
        <v>138.75</v>
      </c>
      <c r="E25" s="5" t="inlineStr">
        <is>
          <t>S11, S4</t>
        </is>
      </c>
      <c r="F25" s="20" t="n">
        <v>1581.25</v>
      </c>
      <c r="L25" s="7" t="inlineStr">
        <is>
          <t>ASSUMPTION: same 7.2072 conversion rate as 2030 series (S11 states one rate).</t>
        </is>
      </c>
    </row>
    <row r="26">
      <c r="A26" s="5" t="inlineStr">
        <is>
          <t>1.25% conv. notes due 2031 (Mar-26)</t>
        </is>
      </c>
      <c r="B26" s="20" t="n">
        <v>2439.84</v>
      </c>
      <c r="C26" s="21" t="n">
        <v>0.0125</v>
      </c>
      <c r="D26" s="19" t="n">
        <v>183.22</v>
      </c>
      <c r="E26" s="5" t="inlineStr">
        <is>
          <t>S12, S1</t>
        </is>
      </c>
      <c r="F26" s="20" t="n">
        <v>2439.84</v>
      </c>
      <c r="L26" s="7" t="inlineStr">
        <is>
          <t>ASSUMPTION: $4,337.5M gross (S1 CF) split pro rata to $2.25B/$1.75B base sizes.</t>
        </is>
      </c>
    </row>
    <row r="27">
      <c r="A27" s="5" t="inlineStr">
        <is>
          <t>2.625% conv. notes due 2033 (Mar-26)</t>
        </is>
      </c>
      <c r="B27" s="20" t="n">
        <v>1897.66</v>
      </c>
      <c r="C27" s="21" t="n">
        <v>0.02625</v>
      </c>
      <c r="D27" s="19" t="n">
        <v>180.31</v>
      </c>
      <c r="E27" s="5" t="inlineStr">
        <is>
          <t>S12, S1</t>
        </is>
      </c>
      <c r="F27" s="20" t="n">
        <v>1897.66</v>
      </c>
      <c r="L27" s="7" t="inlineStr">
        <is>
          <t>ASSUMPTION: as above.</t>
        </is>
      </c>
    </row>
    <row r="28">
      <c r="A28" s="5" t="inlineStr">
        <is>
          <t>0.50% conv. notes due Feb-2030 (Aug-26)</t>
        </is>
      </c>
      <c r="B28" s="20" t="n">
        <v>3450</v>
      </c>
      <c r="C28" s="21" t="n">
        <v>0.005</v>
      </c>
      <c r="D28" s="19" t="n">
        <v>313.46</v>
      </c>
      <c r="E28" s="5" t="inlineStr">
        <is>
          <t>S7, S8</t>
        </is>
      </c>
      <c r="F28" s="20" t="n">
        <v>0</v>
      </c>
      <c r="L28" s="7" t="inlineStr">
        <is>
          <t>Accretes to 110% at maturity.</t>
        </is>
      </c>
    </row>
    <row r="29">
      <c r="A29" s="5" t="inlineStr">
        <is>
          <t>4.50% conv. notes due Feb-2034 (Aug-26)</t>
        </is>
      </c>
      <c r="B29" s="20" t="n">
        <v>2300</v>
      </c>
      <c r="C29" s="21" t="n">
        <v>0.045</v>
      </c>
      <c r="D29" s="19" t="n">
        <v>324.65</v>
      </c>
      <c r="E29" s="5" t="inlineStr">
        <is>
          <t>S7, S8</t>
        </is>
      </c>
      <c r="F29" s="20" t="n">
        <v>0</v>
      </c>
      <c r="L29" s="7" t="inlineStr">
        <is>
          <t>Accretes to 125% at maturity.</t>
        </is>
      </c>
    </row>
    <row r="30"/>
    <row r="31">
      <c r="A31" s="3" t="inlineStr">
        <is>
          <t>C. FY2026 guidance &amp; operating disclosures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13" t="inlineStr">
        <is>
          <t>Item</t>
        </is>
      </c>
      <c r="B32" s="18" t="inlineStr">
        <is>
          <t>Value</t>
        </is>
      </c>
      <c r="C32" s="18" t="inlineStr">
        <is>
          <t>Unit</t>
        </is>
      </c>
      <c r="D32" s="18" t="inlineStr">
        <is>
          <t>Source</t>
        </is>
      </c>
      <c r="E32" s="18" t="inlineStr">
        <is>
          <t>As of</t>
        </is>
      </c>
      <c r="F32" s="18" t="inlineStr"/>
      <c r="G32" s="18" t="inlineStr"/>
      <c r="H32" s="18" t="inlineStr"/>
      <c r="I32" s="18" t="inlineStr"/>
      <c r="J32" s="18" t="inlineStr"/>
      <c r="K32" s="18" t="inlineStr"/>
      <c r="L32" s="18" t="inlineStr">
        <is>
          <t>Note</t>
        </is>
      </c>
    </row>
    <row r="33">
      <c r="A33" s="5" t="inlineStr">
        <is>
          <t>FY26 revenue guidance - low</t>
        </is>
      </c>
      <c r="B33" s="20" t="n">
        <v>3000</v>
      </c>
      <c r="C33" s="7" t="inlineStr">
        <is>
          <t>$M</t>
        </is>
      </c>
      <c r="D33" s="5" t="inlineStr">
        <is>
          <t>S6</t>
        </is>
      </c>
      <c r="E33" s="5" t="inlineStr">
        <is>
          <t>2026-08-12</t>
        </is>
      </c>
      <c r="L33" s="7" t="inlineStr">
        <is>
          <t>Reaffirmed on Q2-26 call.</t>
        </is>
      </c>
    </row>
    <row r="34">
      <c r="A34" s="5" t="inlineStr">
        <is>
          <t>FY26 revenue guidance - high</t>
        </is>
      </c>
      <c r="B34" s="20" t="n">
        <v>3400</v>
      </c>
      <c r="C34" s="7" t="inlineStr">
        <is>
          <t>$M</t>
        </is>
      </c>
      <c r="D34" s="5" t="inlineStr">
        <is>
          <t>S6</t>
        </is>
      </c>
      <c r="E34" s="5" t="inlineStr">
        <is>
          <t>2026-08-12</t>
        </is>
      </c>
      <c r="L34" s="7" t="inlineStr"/>
    </row>
    <row r="35">
      <c r="A35" s="5" t="inlineStr">
        <is>
          <t>FY26 adj. EBITDA margin guidance (approx.)</t>
        </is>
      </c>
      <c r="B35" s="22" t="n">
        <v>0.4</v>
      </c>
      <c r="C35" s="7" t="inlineStr">
        <is>
          <t>%</t>
        </is>
      </c>
      <c r="D35" s="5" t="inlineStr">
        <is>
          <t>S6</t>
        </is>
      </c>
      <c r="E35" s="5" t="inlineStr">
        <is>
          <t>2026-08-12</t>
        </is>
      </c>
      <c r="L35" s="7" t="inlineStr"/>
    </row>
    <row r="36">
      <c r="A36" s="5" t="inlineStr">
        <is>
          <t>FY26 capex guidance - low</t>
        </is>
      </c>
      <c r="B36" s="20" t="n">
        <v>20000</v>
      </c>
      <c r="C36" s="7" t="inlineStr">
        <is>
          <t>$M</t>
        </is>
      </c>
      <c r="D36" s="5" t="inlineStr">
        <is>
          <t>S6</t>
        </is>
      </c>
      <c r="E36" s="5" t="inlineStr">
        <is>
          <t>2026-08-12</t>
        </is>
      </c>
      <c r="L36" s="7" t="inlineStr">
        <is>
          <t>Raised from $16-20B at Q4-25 (secondary sources).</t>
        </is>
      </c>
    </row>
    <row r="37">
      <c r="A37" s="5" t="inlineStr">
        <is>
          <t>FY26 capex guidance - high</t>
        </is>
      </c>
      <c r="B37" s="20" t="n">
        <v>25000</v>
      </c>
      <c r="C37" s="7" t="inlineStr">
        <is>
          <t>$M</t>
        </is>
      </c>
      <c r="D37" s="5" t="inlineStr">
        <is>
          <t>S6</t>
        </is>
      </c>
      <c r="E37" s="5" t="inlineStr">
        <is>
          <t>2026-08-12</t>
        </is>
      </c>
      <c r="L37" s="7" t="inlineStr"/>
    </row>
    <row r="38">
      <c r="A38" s="5" t="inlineStr">
        <is>
          <t>YE26 ARR target - low</t>
        </is>
      </c>
      <c r="B38" s="20" t="n">
        <v>7000</v>
      </c>
      <c r="C38" s="7" t="inlineStr">
        <is>
          <t>$M</t>
        </is>
      </c>
      <c r="D38" s="5" t="inlineStr">
        <is>
          <t>S6, S21</t>
        </is>
      </c>
      <c r="E38" s="5" t="inlineStr">
        <is>
          <t>2026-08-12</t>
        </is>
      </c>
      <c r="L38" s="7" t="inlineStr"/>
    </row>
    <row r="39">
      <c r="A39" s="5" t="inlineStr">
        <is>
          <t>YE26 ARR target - high</t>
        </is>
      </c>
      <c r="B39" s="20" t="n">
        <v>9000</v>
      </c>
      <c r="C39" s="7" t="inlineStr">
        <is>
          <t>$M</t>
        </is>
      </c>
      <c r="D39" s="5" t="inlineStr">
        <is>
          <t>S6, S21</t>
        </is>
      </c>
      <c r="E39" s="5" t="inlineStr">
        <is>
          <t>2026-08-12</t>
        </is>
      </c>
      <c r="L39" s="7" t="inlineStr"/>
    </row>
    <row r="40">
      <c r="A40" s="5" t="inlineStr">
        <is>
          <t>YE26 contracted power target</t>
        </is>
      </c>
      <c r="B40" s="23" t="n">
        <v>5</v>
      </c>
      <c r="C40" s="7" t="inlineStr">
        <is>
          <t>GW</t>
        </is>
      </c>
      <c r="D40" s="5" t="inlineStr">
        <is>
          <t>S2</t>
        </is>
      </c>
      <c r="E40" s="5" t="inlineStr">
        <is>
          <t>2026-08-12</t>
        </is>
      </c>
      <c r="L40" s="7" t="inlineStr">
        <is>
          <t>Raised from 4+ GW; &gt;1 GW/yr build pace from 2027.</t>
        </is>
      </c>
    </row>
    <row r="41">
      <c r="A41" s="5" t="inlineStr">
        <is>
          <t>YE26 connected power target - low</t>
        </is>
      </c>
      <c r="B41" s="24" t="n">
        <v>800</v>
      </c>
      <c r="C41" s="7" t="inlineStr">
        <is>
          <t>MW</t>
        </is>
      </c>
      <c r="D41" s="5" t="inlineStr">
        <is>
          <t>S6</t>
        </is>
      </c>
      <c r="E41" s="5" t="inlineStr">
        <is>
          <t>2026-08-12</t>
        </is>
      </c>
      <c r="L41" s="7" t="inlineStr">
        <is>
          <t>Connected != revenue-generating (commissioning lag).</t>
        </is>
      </c>
    </row>
    <row r="42">
      <c r="A42" s="5" t="inlineStr">
        <is>
          <t>YE26 connected power target - high</t>
        </is>
      </c>
      <c r="B42" s="24" t="n">
        <v>1000</v>
      </c>
      <c r="C42" s="7" t="inlineStr">
        <is>
          <t>MW</t>
        </is>
      </c>
      <c r="D42" s="5" t="inlineStr">
        <is>
          <t>S6</t>
        </is>
      </c>
      <c r="E42" s="5" t="inlineStr">
        <is>
          <t>2026-08-12</t>
        </is>
      </c>
      <c r="L42" s="7" t="inlineStr"/>
    </row>
    <row r="43">
      <c r="A43" s="5" t="inlineStr">
        <is>
          <t>Customer prepayments expected in 2026 (more than)</t>
        </is>
      </c>
      <c r="B43" s="20" t="n">
        <v>9000</v>
      </c>
      <c r="C43" s="7" t="inlineStr">
        <is>
          <t>$M</t>
        </is>
      </c>
      <c r="D43" s="5" t="inlineStr">
        <is>
          <t>S2</t>
        </is>
      </c>
      <c r="E43" s="5" t="inlineStr">
        <is>
          <t>2026-08-12</t>
        </is>
      </c>
      <c r="L43" s="7" t="inlineStr"/>
    </row>
    <row r="44">
      <c r="A44" s="5" t="inlineStr">
        <is>
          <t>Q2-26 new-deal yield, ACV per MW - low</t>
        </is>
      </c>
      <c r="B44" s="20" t="n">
        <v>20</v>
      </c>
      <c r="C44" s="7" t="inlineStr">
        <is>
          <t>$M/MW</t>
        </is>
      </c>
      <c r="D44" s="5" t="inlineStr">
        <is>
          <t>S2</t>
        </is>
      </c>
      <c r="E44" s="5" t="inlineStr">
        <is>
          <t>2026-08-12</t>
        </is>
      </c>
      <c r="L44" s="7" t="inlineStr">
        <is>
          <t>Four landmark deals averaged &gt;$1B TCV.</t>
        </is>
      </c>
    </row>
    <row r="45">
      <c r="A45" s="5" t="inlineStr">
        <is>
          <t>Q2-26 new-deal yield, ACV per MW - high</t>
        </is>
      </c>
      <c r="B45" s="20" t="n">
        <v>25</v>
      </c>
      <c r="C45" s="7" t="inlineStr">
        <is>
          <t>$M/MW</t>
        </is>
      </c>
      <c r="D45" s="5" t="inlineStr">
        <is>
          <t>S2</t>
        </is>
      </c>
      <c r="E45" s="5" t="inlineStr">
        <is>
          <t>2026-08-12</t>
        </is>
      </c>
      <c r="L45" s="7" t="inlineStr"/>
    </row>
    <row r="46">
      <c r="A46" s="5" t="inlineStr">
        <is>
          <t>Share of Q2-26 deals with prepayments</t>
        </is>
      </c>
      <c r="B46" s="22" t="n">
        <v>0.7</v>
      </c>
      <c r="C46" s="7" t="inlineStr">
        <is>
          <t>%</t>
        </is>
      </c>
      <c r="D46" s="5" t="inlineStr">
        <is>
          <t>S2</t>
        </is>
      </c>
      <c r="E46" s="5" t="inlineStr">
        <is>
          <t>2026-08-12</t>
        </is>
      </c>
      <c r="L46" s="7" t="inlineStr"/>
    </row>
    <row r="47">
      <c r="A47" s="5" t="inlineStr">
        <is>
          <t>Prepayment coverage of associated capex - low</t>
        </is>
      </c>
      <c r="B47" s="22" t="n">
        <v>0.5</v>
      </c>
      <c r="C47" s="7" t="inlineStr">
        <is>
          <t>%</t>
        </is>
      </c>
      <c r="D47" s="5" t="inlineStr">
        <is>
          <t>S2</t>
        </is>
      </c>
      <c r="E47" s="5" t="inlineStr">
        <is>
          <t>2026-08-12</t>
        </is>
      </c>
      <c r="L47" s="7" t="inlineStr"/>
    </row>
    <row r="48">
      <c r="A48" s="5" t="inlineStr">
        <is>
          <t>Prepayment coverage of associated capex - high</t>
        </is>
      </c>
      <c r="B48" s="22" t="n">
        <v>0.6</v>
      </c>
      <c r="C48" s="7" t="inlineStr">
        <is>
          <t>%</t>
        </is>
      </c>
      <c r="D48" s="5" t="inlineStr">
        <is>
          <t>S2</t>
        </is>
      </c>
      <c r="E48" s="5" t="inlineStr">
        <is>
          <t>2026-08-12</t>
        </is>
      </c>
      <c r="L48" s="7" t="inlineStr"/>
    </row>
    <row r="49">
      <c r="A49" s="5" t="inlineStr">
        <is>
          <t>Total customer commitments (more than)</t>
        </is>
      </c>
      <c r="B49" s="20" t="n">
        <v>40000</v>
      </c>
      <c r="C49" s="7" t="inlineStr">
        <is>
          <t>$M</t>
        </is>
      </c>
      <c r="D49" s="5" t="inlineStr">
        <is>
          <t>S2</t>
        </is>
      </c>
      <c r="E49" s="5" t="inlineStr">
        <is>
          <t>2026-08-12</t>
        </is>
      </c>
      <c r="L49" s="7" t="inlineStr"/>
    </row>
    <row r="50">
      <c r="A50" s="5" t="inlineStr">
        <is>
          <t>Q2-26 Nebius AI cloud revenue</t>
        </is>
      </c>
      <c r="B50" s="20" t="n">
        <v>574.9</v>
      </c>
      <c r="C50" s="7" t="inlineStr">
        <is>
          <t>$M</t>
        </is>
      </c>
      <c r="D50" s="5" t="inlineStr">
        <is>
          <t>S2</t>
        </is>
      </c>
      <c r="E50" s="5" t="inlineStr">
        <is>
          <t>2026-08-12</t>
        </is>
      </c>
      <c r="L50" s="7" t="inlineStr"/>
    </row>
    <row r="51">
      <c r="A51" s="5" t="inlineStr">
        <is>
          <t>Q2-26 AI cloud adj. EBITDA</t>
        </is>
      </c>
      <c r="B51" s="20" t="n">
        <v>285.7</v>
      </c>
      <c r="C51" s="7" t="inlineStr">
        <is>
          <t>$M</t>
        </is>
      </c>
      <c r="D51" s="5" t="inlineStr">
        <is>
          <t>S2</t>
        </is>
      </c>
      <c r="E51" s="5" t="inlineStr">
        <is>
          <t>2026-08-12</t>
        </is>
      </c>
      <c r="L51" s="7" t="inlineStr">
        <is>
          <t>~50% segment margin.</t>
        </is>
      </c>
    </row>
    <row r="52">
      <c r="A52" s="5" t="inlineStr">
        <is>
          <t>Q2-26 non-recurring Eigen AI SBC/post-combination expense (in PD)</t>
        </is>
      </c>
      <c r="B52" s="20" t="n">
        <v>115.9</v>
      </c>
      <c r="C52" s="7" t="inlineStr">
        <is>
          <t>$M</t>
        </is>
      </c>
      <c r="D52" s="5" t="inlineStr">
        <is>
          <t>S2</t>
        </is>
      </c>
      <c r="E52" s="5" t="inlineStr">
        <is>
          <t>2026-08-12</t>
        </is>
      </c>
      <c r="L52" s="7" t="inlineStr"/>
    </row>
    <row r="53"/>
    <row r="54">
      <c r="A54" s="3" t="inlineStr">
        <is>
          <t>D. Historical financials (as reported, continuing operations)</t>
        </is>
      </c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13" t="inlineStr">
        <is>
          <t>$M</t>
        </is>
      </c>
      <c r="B55" s="18" t="inlineStr">
        <is>
          <t>Q1'25</t>
        </is>
      </c>
      <c r="C55" s="18" t="inlineStr">
        <is>
          <t>Q2'25</t>
        </is>
      </c>
      <c r="D55" s="18" t="inlineStr">
        <is>
          <t>Q3'25</t>
        </is>
      </c>
      <c r="E55" s="18" t="inlineStr">
        <is>
          <t>Q4'25</t>
        </is>
      </c>
      <c r="F55" s="18" t="inlineStr">
        <is>
          <t>Q1'26</t>
        </is>
      </c>
      <c r="G55" s="18" t="inlineStr">
        <is>
          <t>Q2'26</t>
        </is>
      </c>
      <c r="H55" s="18" t="inlineStr">
        <is>
          <t>FY2024</t>
        </is>
      </c>
      <c r="I55" s="18" t="inlineStr">
        <is>
          <t>FY2025</t>
        </is>
      </c>
      <c r="J55" s="18" t="inlineStr">
        <is>
          <t>Unit</t>
        </is>
      </c>
      <c r="K55" s="18" t="inlineStr">
        <is>
          <t>Source</t>
        </is>
      </c>
      <c r="L55" s="18" t="inlineStr">
        <is>
          <t>Note</t>
        </is>
      </c>
    </row>
    <row r="56">
      <c r="A56" s="5" t="inlineStr">
        <is>
          <t>Revenue</t>
        </is>
      </c>
      <c r="B56" s="20" t="n">
        <v>50.9</v>
      </c>
      <c r="C56" s="20" t="n">
        <v>105.1</v>
      </c>
      <c r="D56" s="20" t="n">
        <v>146.1</v>
      </c>
      <c r="E56" s="20" t="n">
        <v>227.7</v>
      </c>
      <c r="F56" s="20" t="n">
        <v>399</v>
      </c>
      <c r="G56" s="20" t="n">
        <v>582.3</v>
      </c>
      <c r="H56" s="20" t="n">
        <v>91.5</v>
      </c>
      <c r="I56" s="20" t="n">
        <v>529.8</v>
      </c>
      <c r="J56" s="7" t="inlineStr">
        <is>
          <t>$M</t>
        </is>
      </c>
      <c r="K56" s="5" t="inlineStr">
        <is>
          <t>Q1'25/Q1'26: S3; Q2'25/Q2'26: S1; Q3'25: S5; Q4'25/FY: S4</t>
        </is>
      </c>
      <c r="L56" s="7" t="inlineStr"/>
    </row>
    <row r="57">
      <c r="A57" s="5" t="inlineStr">
        <is>
          <t>Cost of revenues</t>
        </is>
      </c>
      <c r="B57" s="20" t="n">
        <v>24.7</v>
      </c>
      <c r="C57" s="20" t="n">
        <v>30.1</v>
      </c>
      <c r="D57" s="20" t="n">
        <v>42.9</v>
      </c>
      <c r="E57" s="20" t="n">
        <v>68.5</v>
      </c>
      <c r="F57" s="20" t="n">
        <v>103.8</v>
      </c>
      <c r="G57" s="20" t="n">
        <v>133.6</v>
      </c>
      <c r="H57" s="20" t="n">
        <v>43.7</v>
      </c>
      <c r="I57" s="20" t="n">
        <v>166.2</v>
      </c>
      <c r="J57" s="7" t="inlineStr">
        <is>
          <t>$M</t>
        </is>
      </c>
      <c r="K57" s="5" t="inlineStr">
        <is>
          <t>Q1'25/Q1'26: S3; Q2'25/Q2'26: S1; Q3'25: S5; Q4'25/FY: S4</t>
        </is>
      </c>
      <c r="L57" s="7" t="inlineStr">
        <is>
          <t>Excl. D&amp;A.</t>
        </is>
      </c>
    </row>
    <row r="58">
      <c r="A58" s="5" t="inlineStr">
        <is>
          <t>Product development</t>
        </is>
      </c>
      <c r="B58" s="20" t="n">
        <v>36.5</v>
      </c>
      <c r="C58" s="20" t="n">
        <v>42.8</v>
      </c>
      <c r="D58" s="20" t="n">
        <v>44.9</v>
      </c>
      <c r="E58" s="20" t="n">
        <v>53.1</v>
      </c>
      <c r="F58" s="20" t="n">
        <v>67.40000000000001</v>
      </c>
      <c r="G58" s="20" t="n">
        <v>191</v>
      </c>
      <c r="H58" s="20" t="n">
        <v>114.8</v>
      </c>
      <c r="I58" s="20" t="n">
        <v>177.3</v>
      </c>
      <c r="J58" s="7" t="inlineStr">
        <is>
          <t>$M</t>
        </is>
      </c>
      <c r="K58" s="5" t="inlineStr">
        <is>
          <t>Q1'25/Q1'26: S3; Q2'25/Q2'26: S1; Q3'25: S5; Q4'25/FY: S4</t>
        </is>
      </c>
      <c r="L58" s="7" t="inlineStr">
        <is>
          <t>Q2'26 incl. $115.9M non-recurring Eigen AI expense.</t>
        </is>
      </c>
    </row>
    <row r="59">
      <c r="A59" s="5" t="inlineStr">
        <is>
          <t>Sales, general &amp; administrative</t>
        </is>
      </c>
      <c r="B59" s="20" t="n">
        <v>60.9</v>
      </c>
      <c r="C59" s="20" t="n">
        <v>68.2</v>
      </c>
      <c r="D59" s="20" t="n">
        <v>89.5</v>
      </c>
      <c r="E59" s="20" t="n">
        <v>159.9</v>
      </c>
      <c r="F59" s="20" t="n">
        <v>143.8</v>
      </c>
      <c r="G59" s="20" t="n">
        <v>173.9</v>
      </c>
      <c r="H59" s="20" t="n">
        <v>255.5</v>
      </c>
      <c r="I59" s="20" t="n">
        <v>378.5</v>
      </c>
      <c r="J59" s="7" t="inlineStr">
        <is>
          <t>$M</t>
        </is>
      </c>
      <c r="K59" s="5" t="inlineStr">
        <is>
          <t>Q1'25/Q1'26: S3; Q2'25/Q2'26: S1; Q3'25: S5; Q4'25/FY: S4</t>
        </is>
      </c>
      <c r="L59" s="7" t="inlineStr"/>
    </row>
    <row r="60">
      <c r="A60" s="5" t="inlineStr">
        <is>
          <t>Depreciation &amp; amortization</t>
        </is>
      </c>
      <c r="B60" s="20" t="n">
        <v>49.1</v>
      </c>
      <c r="C60" s="20" t="n">
        <v>75.2</v>
      </c>
      <c r="D60" s="20" t="n">
        <v>99</v>
      </c>
      <c r="E60" s="20" t="n">
        <v>180.7</v>
      </c>
      <c r="F60" s="20" t="n">
        <v>212</v>
      </c>
      <c r="G60" s="20" t="n">
        <v>259.7</v>
      </c>
      <c r="H60" s="20" t="n">
        <v>77.09999999999999</v>
      </c>
      <c r="I60" s="20" t="n">
        <v>404</v>
      </c>
      <c r="J60" s="7" t="inlineStr">
        <is>
          <t>$M</t>
        </is>
      </c>
      <c r="K60" s="5" t="inlineStr">
        <is>
          <t>Q1'25/Q1'26: S3; Q2'25/Q2'26: S1; Q3'25: S5; Q4'25/FY: S4</t>
        </is>
      </c>
      <c r="L60" s="7" t="inlineStr">
        <is>
          <t>Server/network useful life extended 4 -&gt; 5 yrs (S2).</t>
        </is>
      </c>
    </row>
    <row r="61">
      <c r="A61" s="5" t="inlineStr">
        <is>
          <t>Loss from operations (reported)</t>
        </is>
      </c>
      <c r="B61" s="20" t="n">
        <v>-120.3</v>
      </c>
      <c r="C61" s="20" t="n">
        <v>-111.2</v>
      </c>
      <c r="D61" s="20" t="n">
        <v>-130.2</v>
      </c>
      <c r="E61" s="20" t="n">
        <v>-234.5</v>
      </c>
      <c r="F61" s="20" t="n">
        <v>-128</v>
      </c>
      <c r="G61" s="20" t="n">
        <v>-175.9</v>
      </c>
      <c r="H61" s="20" t="n">
        <v>-399.6</v>
      </c>
      <c r="I61" s="20" t="n">
        <v>-596.2</v>
      </c>
      <c r="J61" s="7" t="inlineStr">
        <is>
          <t>$M</t>
        </is>
      </c>
      <c r="K61" s="5" t="inlineStr">
        <is>
          <t>Q1'25/Q1'26: S3; Q2'25/Q2'26: S1; Q3'25: S5; Q4'25/FY: S4</t>
        </is>
      </c>
      <c r="L61" s="7" t="inlineStr"/>
    </row>
    <row r="62">
      <c r="A62" s="5" t="inlineStr">
        <is>
          <t>Interest income</t>
        </is>
      </c>
      <c r="B62" s="20" t="n">
        <v>8.5</v>
      </c>
      <c r="C62" s="20" t="n">
        <v>3.6</v>
      </c>
      <c r="D62" s="20" t="n">
        <v>6.2</v>
      </c>
      <c r="E62" s="20" t="n">
        <v>13.5</v>
      </c>
      <c r="F62" s="20" t="n">
        <v>14.2</v>
      </c>
      <c r="G62" s="20" t="n">
        <v>24.1</v>
      </c>
      <c r="H62" s="20" t="n">
        <v>63.6</v>
      </c>
      <c r="I62" s="20" t="n">
        <v>31.8</v>
      </c>
      <c r="J62" s="7" t="inlineStr">
        <is>
          <t>$M</t>
        </is>
      </c>
      <c r="K62" s="5" t="inlineStr">
        <is>
          <t>Q1'25/Q1'26: S3; Q2'25/Q2'26: S1; Q3'25: S5; Q4'25/FY: S4</t>
        </is>
      </c>
      <c r="L62" s="7" t="inlineStr"/>
    </row>
    <row r="63">
      <c r="A63" s="5" t="inlineStr">
        <is>
          <t>Interest expense</t>
        </is>
      </c>
      <c r="B63" s="20" t="n">
        <v>0</v>
      </c>
      <c r="C63" s="20" t="n">
        <v>-4.8</v>
      </c>
      <c r="D63" s="20" t="n">
        <v>-14.7</v>
      </c>
      <c r="E63" s="20" t="n">
        <v>-38.3</v>
      </c>
      <c r="F63" s="20" t="n">
        <v>-63.7</v>
      </c>
      <c r="G63" s="20" t="n">
        <v>-119.1</v>
      </c>
      <c r="H63" s="20" t="n">
        <v>0</v>
      </c>
      <c r="I63" s="20" t="n">
        <v>-57.8</v>
      </c>
      <c r="J63" s="7" t="inlineStr">
        <is>
          <t>$M</t>
        </is>
      </c>
      <c r="K63" s="5" t="inlineStr">
        <is>
          <t>Q1'25/Q1'26: S3; Q2'25/Q2'26: S1; Q3'25: S5; Q4'25/FY: S4</t>
        </is>
      </c>
      <c r="L63" s="7" t="inlineStr"/>
    </row>
    <row r="64">
      <c r="A64" s="5" t="inlineStr">
        <is>
          <t>Other non-operating, net (equity reval., equity method, other)</t>
        </is>
      </c>
      <c r="B64" s="20" t="n">
        <v>8.4</v>
      </c>
      <c r="C64" s="20" t="n">
        <v>615.7</v>
      </c>
      <c r="D64" s="20" t="n">
        <v>18.8</v>
      </c>
      <c r="E64" s="20" t="n">
        <v>12.3</v>
      </c>
      <c r="F64" s="20" t="n">
        <v>792.9</v>
      </c>
      <c r="G64" s="20" t="n">
        <v>94.2</v>
      </c>
      <c r="H64" s="20" t="n">
        <v>-17</v>
      </c>
      <c r="I64" s="20" t="n">
        <v>655.2</v>
      </c>
      <c r="J64" s="7" t="inlineStr">
        <is>
          <t>$M</t>
        </is>
      </c>
      <c r="K64" s="5" t="inlineStr">
        <is>
          <t>Q1'25/Q1'26: S3; Q2'25/Q2'26: S1; Q3'25: S5; Q4'25/FY: S4</t>
        </is>
      </c>
      <c r="L64" s="7" t="inlineStr">
        <is>
          <t>Q3'25 derived as residual from 9M/FY totals. Q2'25/Q1'26 incl. $597.4M/$780.6M revaluation gains.</t>
        </is>
      </c>
    </row>
    <row r="65">
      <c r="A65" s="5" t="inlineStr">
        <is>
          <t>Income tax (expense)/benefit</t>
        </is>
      </c>
      <c r="B65" s="20" t="n">
        <v>-0.9</v>
      </c>
      <c r="C65" s="20" t="n">
        <v>-0.8</v>
      </c>
      <c r="D65" s="20" t="n">
        <v>0.3</v>
      </c>
      <c r="E65" s="20" t="n">
        <v>-2.6</v>
      </c>
      <c r="F65" s="20" t="n">
        <v>5.8</v>
      </c>
      <c r="G65" s="20" t="n">
        <v>-13.7</v>
      </c>
      <c r="H65" s="20" t="n">
        <v>1</v>
      </c>
      <c r="I65" s="20" t="n">
        <v>-4</v>
      </c>
      <c r="J65" s="7" t="inlineStr">
        <is>
          <t>$M</t>
        </is>
      </c>
      <c r="K65" s="5" t="inlineStr">
        <is>
          <t>Q1'25/Q1'26: S3; Q2'25/Q2'26: S1; Q3'25: S5; Q4'25/FY: S4</t>
        </is>
      </c>
      <c r="L65" s="7" t="inlineStr">
        <is>
          <t>Q3'25 derived: FY less Q1, Q2, Q4.</t>
        </is>
      </c>
    </row>
    <row r="66">
      <c r="A66" s="5" t="inlineStr">
        <is>
          <t>Net income/(loss), continuing ops (reported)</t>
        </is>
      </c>
      <c r="B66" s="20" t="n">
        <v>-104.3</v>
      </c>
      <c r="C66" s="20" t="n">
        <v>502.5</v>
      </c>
      <c r="D66" s="20" t="n">
        <v>-119.6</v>
      </c>
      <c r="E66" s="20" t="n">
        <v>-249.6</v>
      </c>
      <c r="F66" s="20" t="n">
        <v>621.2</v>
      </c>
      <c r="G66" s="20" t="n">
        <v>-190.4</v>
      </c>
      <c r="H66" s="20" t="n">
        <v>-352</v>
      </c>
      <c r="I66" s="20" t="n">
        <v>29</v>
      </c>
      <c r="J66" s="7" t="inlineStr">
        <is>
          <t>$M</t>
        </is>
      </c>
      <c r="K66" s="5" t="inlineStr">
        <is>
          <t>Q1'25/Q1'26: S3; Q2'25/Q2'26: S1; Q3'25: S5; Q4'25/FY: S4</t>
        </is>
      </c>
      <c r="L66" s="7" t="inlineStr"/>
    </row>
    <row r="67">
      <c r="A67" s="5" t="inlineStr">
        <is>
          <t>Adjusted EBITDA (company definition)</t>
        </is>
      </c>
      <c r="B67" s="20" t="n">
        <v>-53.7</v>
      </c>
      <c r="C67" s="20" t="n">
        <v>-21</v>
      </c>
      <c r="D67" s="20" t="n">
        <v>-5.2</v>
      </c>
      <c r="E67" s="20" t="n">
        <v>15</v>
      </c>
      <c r="F67" s="20" t="n">
        <v>129.5</v>
      </c>
      <c r="G67" s="20" t="n">
        <v>236.2</v>
      </c>
      <c r="H67" s="20" t="n">
        <v>-226.3</v>
      </c>
      <c r="I67" s="20" t="n">
        <v>-64.90000000000001</v>
      </c>
      <c r="J67" s="7" t="inlineStr">
        <is>
          <t>$M</t>
        </is>
      </c>
      <c r="K67" s="5" t="inlineStr">
        <is>
          <t>Q1'25/Q1'26: S3; Q2'25/Q2'26: S1; Q3'25: S5; Q4'25/FY: S4</t>
        </is>
      </c>
      <c r="L67" s="7" t="inlineStr"/>
    </row>
    <row r="68">
      <c r="A68" s="5" t="inlineStr">
        <is>
          <t>Share-based compensation</t>
        </is>
      </c>
      <c r="B68" s="20" t="n">
        <v>17.5</v>
      </c>
      <c r="C68" s="20" t="n">
        <v>14.7</v>
      </c>
      <c r="D68" s="20" t="n">
        <v>26.1</v>
      </c>
      <c r="E68" s="20" t="n">
        <v>24.9</v>
      </c>
      <c r="F68" s="20" t="n">
        <v>35.3</v>
      </c>
      <c r="G68" s="20" t="n">
        <v>102.5</v>
      </c>
      <c r="H68" s="20" t="n">
        <v>54.5</v>
      </c>
      <c r="I68" s="20" t="n">
        <v>83.2</v>
      </c>
      <c r="J68" s="7" t="inlineStr">
        <is>
          <t>$M</t>
        </is>
      </c>
      <c r="K68" s="5" t="inlineStr">
        <is>
          <t>Q1'25/Q1'26: S3; Q2'25/Q2'26: S1; Q3'25: S5; Q4'25/FY: S4</t>
        </is>
      </c>
      <c r="L68" s="7" t="inlineStr"/>
    </row>
    <row r="69">
      <c r="A69" s="5" t="inlineStr">
        <is>
          <t>Cash from operations (continuing)</t>
        </is>
      </c>
      <c r="B69" s="20" t="n">
        <v>-184.1</v>
      </c>
      <c r="C69" s="20" t="n">
        <v>-167.9</v>
      </c>
      <c r="D69" s="20" t="n">
        <v>-80.40000000000001</v>
      </c>
      <c r="E69" s="20" t="n">
        <v>834.3</v>
      </c>
      <c r="F69" s="20" t="n">
        <v>2258</v>
      </c>
      <c r="G69" s="20" t="n">
        <v>2246.1</v>
      </c>
      <c r="H69" s="20" t="n">
        <v>-269.9</v>
      </c>
      <c r="I69" s="20" t="n">
        <v>401.9</v>
      </c>
      <c r="J69" s="7" t="inlineStr">
        <is>
          <t>$M</t>
        </is>
      </c>
      <c r="K69" s="5" t="inlineStr">
        <is>
          <t>Q1'25/Q1'26: S3; Q2'25/Q2'26: S1; Q3'25: S5; Q4'25/FY: S4</t>
        </is>
      </c>
      <c r="L69" s="7" t="inlineStr">
        <is>
          <t>Q3'25 derived: 9M less H1.</t>
        </is>
      </c>
    </row>
    <row r="70">
      <c r="A70" s="5" t="inlineStr">
        <is>
          <t>Capex (purchases of PP&amp;E and intangibles)</t>
        </is>
      </c>
      <c r="B70" s="20" t="n">
        <v>543.9</v>
      </c>
      <c r="C70" s="20" t="n">
        <v>510.6</v>
      </c>
      <c r="D70" s="20" t="n">
        <v>955.5</v>
      </c>
      <c r="E70" s="20" t="n">
        <v>2056</v>
      </c>
      <c r="F70" s="20" t="n">
        <v>2472.9</v>
      </c>
      <c r="G70" s="20" t="n">
        <v>5657.4</v>
      </c>
      <c r="H70" s="20" t="n">
        <v>807.5</v>
      </c>
      <c r="I70" s="20" t="n">
        <v>4066</v>
      </c>
      <c r="J70" s="7" t="inlineStr">
        <is>
          <t>$M</t>
        </is>
      </c>
      <c r="K70" s="5" t="inlineStr">
        <is>
          <t>Q1'25/Q1'26: S3; Q2'25/Q2'26: S1; Q3'25: S5; Q4'25/FY: S4</t>
        </is>
      </c>
      <c r="L70" s="7" t="inlineStr">
        <is>
          <t>Q3'25 derived: 9M less H1.</t>
        </is>
      </c>
    </row>
    <row r="71">
      <c r="A71" s="5" t="inlineStr">
        <is>
          <t>Change in deferred revenue (CFO line)</t>
        </is>
      </c>
      <c r="B71" s="25" t="inlineStr">
        <is>
          <t>n.d.</t>
        </is>
      </c>
      <c r="C71" s="25" t="inlineStr">
        <is>
          <t>n.d.</t>
        </is>
      </c>
      <c r="D71" s="25" t="inlineStr">
        <is>
          <t>n.d.</t>
        </is>
      </c>
      <c r="E71" s="25" t="inlineStr">
        <is>
          <t>n.d.</t>
        </is>
      </c>
      <c r="F71" s="20" t="n">
        <v>3198</v>
      </c>
      <c r="G71" s="20" t="n">
        <v>1197</v>
      </c>
      <c r="H71" s="25" t="inlineStr">
        <is>
          <t>n.d.</t>
        </is>
      </c>
      <c r="I71" s="25" t="inlineStr">
        <is>
          <t>n.d.</t>
        </is>
      </c>
      <c r="J71" s="7" t="inlineStr">
        <is>
          <t>$M</t>
        </is>
      </c>
      <c r="K71" s="5" t="inlineStr">
        <is>
          <t>Q1'25/Q1'26: S3; Q2'25/Q2'26: S1; Q3'25: S5; Q4'25/FY: S4</t>
        </is>
      </c>
      <c r="L71" s="7" t="inlineStr">
        <is>
          <t>Q2'26 derived: H1 $4,395.0M less Q1.</t>
        </is>
      </c>
    </row>
    <row r="72">
      <c r="A72" s="5" t="inlineStr">
        <is>
          <t>ARR, end of period (AI cloud)</t>
        </is>
      </c>
      <c r="B72" s="25" t="inlineStr">
        <is>
          <t>n.d.</t>
        </is>
      </c>
      <c r="C72" s="25" t="inlineStr">
        <is>
          <t>n.d.</t>
        </is>
      </c>
      <c r="D72" s="25" t="inlineStr">
        <is>
          <t>n.d.</t>
        </is>
      </c>
      <c r="E72" s="20" t="n">
        <v>1200</v>
      </c>
      <c r="F72" s="20" t="n">
        <v>1900</v>
      </c>
      <c r="G72" s="20" t="n">
        <v>3000</v>
      </c>
      <c r="H72" s="25" t="inlineStr">
        <is>
          <t>n.d.</t>
        </is>
      </c>
      <c r="I72" s="20" t="n">
        <v>1200</v>
      </c>
      <c r="J72" s="7" t="inlineStr">
        <is>
          <t>$M</t>
        </is>
      </c>
      <c r="K72" s="5" t="inlineStr">
        <is>
          <t>S2, S21</t>
        </is>
      </c>
      <c r="L72" s="7" t="inlineStr">
        <is>
          <t>S2/S21. Q2'26 = +598% YoY.</t>
        </is>
      </c>
    </row>
    <row r="73">
      <c r="A73" s="5" t="inlineStr">
        <is>
          <t>Cash &amp; equivalents, end of period</t>
        </is>
      </c>
      <c r="B73" s="25" t="inlineStr">
        <is>
          <t>n.d.</t>
        </is>
      </c>
      <c r="C73" s="25" t="inlineStr">
        <is>
          <t>n.d.</t>
        </is>
      </c>
      <c r="D73" s="20" t="n">
        <v>4794.8</v>
      </c>
      <c r="E73" s="20" t="n">
        <v>3678.1</v>
      </c>
      <c r="F73" s="20" t="n">
        <v>9298.200000000001</v>
      </c>
      <c r="G73" s="20" t="n">
        <v>8042.1</v>
      </c>
      <c r="H73" s="20" t="n">
        <v>2434.7</v>
      </c>
      <c r="I73" s="20" t="n">
        <v>3678.1</v>
      </c>
      <c r="J73" s="7" t="inlineStr">
        <is>
          <t>$M</t>
        </is>
      </c>
      <c r="K73" s="5" t="inlineStr">
        <is>
          <t>Q1'25/Q1'26: S3; Q2'25/Q2'26: S1; Q3'25: S5; Q4'25/FY: S4</t>
        </is>
      </c>
      <c r="L73" s="7" t="inlineStr">
        <is>
          <t>Balance-sheet items at quarter-end.</t>
        </is>
      </c>
    </row>
    <row r="74">
      <c r="A74" s="5" t="inlineStr">
        <is>
          <t>Accounts receivable</t>
        </is>
      </c>
      <c r="B74" s="25" t="inlineStr">
        <is>
          <t>n.d.</t>
        </is>
      </c>
      <c r="C74" s="25" t="inlineStr">
        <is>
          <t>n.d.</t>
        </is>
      </c>
      <c r="D74" s="20" t="n">
        <v>91.2</v>
      </c>
      <c r="E74" s="20" t="n">
        <v>720.3</v>
      </c>
      <c r="F74" s="20" t="n">
        <v>1479.2</v>
      </c>
      <c r="G74" s="20" t="n">
        <v>288.6</v>
      </c>
      <c r="H74" s="20" t="n">
        <v>11.2</v>
      </c>
      <c r="I74" s="20" t="n">
        <v>720.3</v>
      </c>
      <c r="J74" s="7" t="inlineStr">
        <is>
          <t>$M</t>
        </is>
      </c>
      <c r="K74" s="5" t="inlineStr">
        <is>
          <t>Q1'25/Q1'26: S3; Q2'25/Q2'26: S1; Q3'25: S5; Q4'25/FY: S4</t>
        </is>
      </c>
      <c r="L74" s="7" t="inlineStr"/>
    </row>
    <row r="75">
      <c r="A75" s="5" t="inlineStr">
        <is>
          <t>Property &amp; equipment, net</t>
        </is>
      </c>
      <c r="B75" s="25" t="inlineStr">
        <is>
          <t>n.d.</t>
        </is>
      </c>
      <c r="C75" s="25" t="inlineStr">
        <is>
          <t>n.d.</t>
        </is>
      </c>
      <c r="D75" s="20" t="n">
        <v>3314.4</v>
      </c>
      <c r="E75" s="20" t="n">
        <v>5553.3</v>
      </c>
      <c r="F75" s="20" t="n">
        <v>7131.7</v>
      </c>
      <c r="G75" s="20" t="n">
        <v>13045.2</v>
      </c>
      <c r="H75" s="20" t="n">
        <v>846.7</v>
      </c>
      <c r="I75" s="20" t="n">
        <v>5553.3</v>
      </c>
      <c r="J75" s="7" t="inlineStr">
        <is>
          <t>$M</t>
        </is>
      </c>
      <c r="K75" s="5" t="inlineStr">
        <is>
          <t>Q1'25/Q1'26: S3; Q2'25/Q2'26: S1; Q3'25: S5; Q4'25/FY: S4</t>
        </is>
      </c>
      <c r="L75" s="7" t="inlineStr">
        <is>
          <t>Dec-25 as restated in S1 (S4 showed 5,572.5).</t>
        </is>
      </c>
    </row>
    <row r="76">
      <c r="A76" s="5" t="inlineStr">
        <is>
          <t>Deferred revenue (current + non-current)</t>
        </is>
      </c>
      <c r="B76" s="25" t="inlineStr">
        <is>
          <t>n.d.</t>
        </is>
      </c>
      <c r="C76" s="25" t="inlineStr">
        <is>
          <t>n.d.</t>
        </is>
      </c>
      <c r="D76" s="25" t="inlineStr">
        <is>
          <t>n.d.</t>
        </is>
      </c>
      <c r="E76" s="20" t="n">
        <v>1577.5</v>
      </c>
      <c r="F76" s="20" t="n">
        <v>4778.1</v>
      </c>
      <c r="G76" s="20" t="n">
        <v>5975.2</v>
      </c>
      <c r="H76" s="20" t="n">
        <v>16.3</v>
      </c>
      <c r="I76" s="20" t="n">
        <v>1577.5</v>
      </c>
      <c r="J76" s="7" t="inlineStr">
        <is>
          <t>$M</t>
        </is>
      </c>
      <c r="K76" s="5" t="inlineStr">
        <is>
          <t>Q1'25/Q1'26: S3; Q2'25/Q2'26: S1; Q3'25: S5; Q4'25/FY: S4</t>
        </is>
      </c>
      <c r="L76" s="7" t="inlineStr">
        <is>
          <t>Sep-25 non-current not captured.</t>
        </is>
      </c>
    </row>
    <row r="77">
      <c r="A77" s="5" t="inlineStr">
        <is>
          <t>Debt (current + non-current, carrying)</t>
        </is>
      </c>
      <c r="B77" s="25" t="inlineStr">
        <is>
          <t>n.d.</t>
        </is>
      </c>
      <c r="C77" s="25" t="inlineStr">
        <is>
          <t>n.d.</t>
        </is>
      </c>
      <c r="D77" s="20" t="n">
        <v>4106.8</v>
      </c>
      <c r="E77" s="20" t="n">
        <v>4127.7</v>
      </c>
      <c r="F77" s="20" t="n">
        <v>8450.4</v>
      </c>
      <c r="G77" s="20" t="n">
        <v>8545.700000000001</v>
      </c>
      <c r="H77" s="20" t="n">
        <v>6.1</v>
      </c>
      <c r="I77" s="20" t="n">
        <v>4127.7</v>
      </c>
      <c r="J77" s="7" t="inlineStr">
        <is>
          <t>$M</t>
        </is>
      </c>
      <c r="K77" s="5" t="inlineStr">
        <is>
          <t>Q1'25/Q1'26: S3; Q2'25/Q2'26: S1; Q3'25: S5; Q4'25/FY: S4</t>
        </is>
      </c>
      <c r="L77" s="7" t="inlineStr"/>
    </row>
    <row r="78">
      <c r="A78" s="5" t="inlineStr">
        <is>
          <t>Total shareholders' equity</t>
        </is>
      </c>
      <c r="B78" s="25" t="inlineStr">
        <is>
          <t>n.d.</t>
        </is>
      </c>
      <c r="C78" s="25" t="inlineStr">
        <is>
          <t>n.d.</t>
        </is>
      </c>
      <c r="D78" s="20" t="n">
        <v>4810.8</v>
      </c>
      <c r="E78" s="20" t="n">
        <v>4594</v>
      </c>
      <c r="F78" s="20" t="n">
        <v>7241.9</v>
      </c>
      <c r="G78" s="20" t="n">
        <v>10340.5</v>
      </c>
      <c r="H78" s="20" t="n">
        <v>3253.7</v>
      </c>
      <c r="I78" s="20" t="n">
        <v>4594</v>
      </c>
      <c r="J78" s="7" t="inlineStr">
        <is>
          <t>$M</t>
        </is>
      </c>
      <c r="K78" s="5" t="inlineStr">
        <is>
          <t>Q1'25/Q1'26: S3; Q2'25/Q2'26: S1; Q3'25: S5; Q4'25/FY: S4</t>
        </is>
      </c>
      <c r="L78" s="7" t="inlineStr">
        <is>
          <t>Dec-25 as restated in S1 (S4 showed 4,613.2).</t>
        </is>
      </c>
    </row>
    <row r="79"/>
    <row r="80">
      <c r="A80" s="3" t="inlineStr">
        <is>
          <t>E. Opening balance sheet, Jun-30-2026 (condensed from S1)</t>
        </is>
      </c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</row>
    <row r="81">
      <c r="A81" s="13" t="inlineStr">
        <is>
          <t>Line (mapping of reported lines)</t>
        </is>
      </c>
      <c r="B81" s="18" t="inlineStr">
        <is>
          <t>Jun-30-26</t>
        </is>
      </c>
      <c r="C81" s="18" t="inlineStr">
        <is>
          <t>Unit</t>
        </is>
      </c>
      <c r="D81" s="18" t="inlineStr">
        <is>
          <t>Source</t>
        </is>
      </c>
      <c r="E81" s="18" t="inlineStr">
        <is>
          <t>As of</t>
        </is>
      </c>
      <c r="F81" s="18" t="inlineStr"/>
      <c r="G81" s="18" t="inlineStr"/>
      <c r="H81" s="18" t="inlineStr"/>
      <c r="I81" s="18" t="inlineStr"/>
      <c r="J81" s="18" t="inlineStr"/>
      <c r="K81" s="18" t="inlineStr"/>
      <c r="L81" s="18" t="inlineStr">
        <is>
          <t>Mapping</t>
        </is>
      </c>
    </row>
    <row r="82">
      <c r="A82" s="5" t="inlineStr">
        <is>
          <t>Cash &amp; cash equivalents</t>
        </is>
      </c>
      <c r="B82" s="20" t="n">
        <v>8042.1</v>
      </c>
      <c r="C82" s="7" t="inlineStr">
        <is>
          <t>$M</t>
        </is>
      </c>
      <c r="D82" s="5" t="inlineStr">
        <is>
          <t>S1</t>
        </is>
      </c>
      <c r="E82" s="5" t="inlineStr">
        <is>
          <t>2026-06-30</t>
        </is>
      </c>
      <c r="L82" s="7" t="inlineStr"/>
    </row>
    <row r="83">
      <c r="A83" s="5" t="inlineStr">
        <is>
          <t>Accounts receivable</t>
        </is>
      </c>
      <c r="B83" s="20" t="n">
        <v>288.6</v>
      </c>
      <c r="C83" s="7" t="inlineStr">
        <is>
          <t>$M</t>
        </is>
      </c>
      <c r="D83" s="5" t="inlineStr">
        <is>
          <t>S1</t>
        </is>
      </c>
      <c r="E83" s="5" t="inlineStr">
        <is>
          <t>2026-06-30</t>
        </is>
      </c>
      <c r="L83" s="7" t="inlineStr"/>
    </row>
    <row r="84">
      <c r="A84" s="5" t="inlineStr">
        <is>
          <t>Other current assets</t>
        </is>
      </c>
      <c r="B84" s="20" t="n">
        <v>1284.9</v>
      </c>
      <c r="C84" s="7" t="inlineStr">
        <is>
          <t>$M</t>
        </is>
      </c>
      <c r="D84" s="5" t="inlineStr">
        <is>
          <t>S1</t>
        </is>
      </c>
      <c r="E84" s="5" t="inlineStr">
        <is>
          <t>2026-06-30</t>
        </is>
      </c>
      <c r="L84" s="7" t="inlineStr">
        <is>
          <t>Prepaid 121.5 + VAT 89.6 + other current 1,073.8.</t>
        </is>
      </c>
    </row>
    <row r="85">
      <c r="A85" s="5" t="inlineStr">
        <is>
          <t>Property &amp; equipment, net</t>
        </is>
      </c>
      <c r="B85" s="20" t="n">
        <v>13045.2</v>
      </c>
      <c r="C85" s="7" t="inlineStr">
        <is>
          <t>$M</t>
        </is>
      </c>
      <c r="D85" s="5" t="inlineStr">
        <is>
          <t>S1</t>
        </is>
      </c>
      <c r="E85" s="5" t="inlineStr">
        <is>
          <t>2026-06-30</t>
        </is>
      </c>
      <c r="L85" s="7" t="inlineStr"/>
    </row>
    <row r="86">
      <c r="A86" s="5" t="inlineStr">
        <is>
          <t>Goodwill &amp; intangibles</t>
        </is>
      </c>
      <c r="B86" s="20" t="n">
        <v>689.5</v>
      </c>
      <c r="C86" s="7" t="inlineStr">
        <is>
          <t>$M</t>
        </is>
      </c>
      <c r="D86" s="5" t="inlineStr">
        <is>
          <t>S1</t>
        </is>
      </c>
      <c r="E86" s="5" t="inlineStr">
        <is>
          <t>2026-06-30</t>
        </is>
      </c>
      <c r="L86" s="7" t="inlineStr">
        <is>
          <t>Goodwill 605.6 + intangibles 83.9.</t>
        </is>
      </c>
    </row>
    <row r="87">
      <c r="A87" s="5" t="inlineStr">
        <is>
          <t>Operating lease ROU assets</t>
        </is>
      </c>
      <c r="B87" s="20" t="n">
        <v>1855.1</v>
      </c>
      <c r="C87" s="7" t="inlineStr">
        <is>
          <t>$M</t>
        </is>
      </c>
      <c r="D87" s="5" t="inlineStr">
        <is>
          <t>S1</t>
        </is>
      </c>
      <c r="E87" s="5" t="inlineStr">
        <is>
          <t>2026-06-30</t>
        </is>
      </c>
      <c r="L87" s="7" t="inlineStr"/>
    </row>
    <row r="88">
      <c r="A88" s="5" t="inlineStr">
        <is>
          <t>Investments (equity-method + non-marketable equity)</t>
        </is>
      </c>
      <c r="B88" s="20" t="n">
        <v>1620.5</v>
      </c>
      <c r="C88" s="7" t="inlineStr">
        <is>
          <t>$M</t>
        </is>
      </c>
      <c r="D88" s="5" t="inlineStr">
        <is>
          <t>S1</t>
        </is>
      </c>
      <c r="E88" s="5" t="inlineStr">
        <is>
          <t>2026-06-30</t>
        </is>
      </c>
      <c r="L88" s="7" t="inlineStr">
        <is>
          <t>13.8 + 1,606.7 (incl. ClickHouse stake at carrying value).</t>
        </is>
      </c>
    </row>
    <row r="89">
      <c r="A89" s="5" t="inlineStr">
        <is>
          <t>Other non-current assets (incl. DTA)</t>
        </is>
      </c>
      <c r="B89" s="20" t="n">
        <v>1135.6</v>
      </c>
      <c r="C89" s="7" t="inlineStr">
        <is>
          <t>$M</t>
        </is>
      </c>
      <c r="D89" s="5" t="inlineStr">
        <is>
          <t>S1</t>
        </is>
      </c>
      <c r="E89" s="5" t="inlineStr">
        <is>
          <t>2026-06-30</t>
        </is>
      </c>
      <c r="L89" s="7" t="inlineStr">
        <is>
          <t>1,124.2 + DTA 11.4.</t>
        </is>
      </c>
    </row>
    <row r="90">
      <c r="A90" s="5" t="inlineStr">
        <is>
          <t>AP, accrued &amp; taxes payable</t>
        </is>
      </c>
      <c r="B90" s="20" t="n">
        <v>1360</v>
      </c>
      <c r="C90" s="7" t="inlineStr">
        <is>
          <t>$M</t>
        </is>
      </c>
      <c r="D90" s="5" t="inlineStr">
        <is>
          <t>S1</t>
        </is>
      </c>
      <c r="E90" s="5" t="inlineStr">
        <is>
          <t>2026-06-30</t>
        </is>
      </c>
      <c r="L90" s="7" t="inlineStr">
        <is>
          <t>AP/accrued 1,301.0 + taxes 59.0.</t>
        </is>
      </c>
    </row>
    <row r="91">
      <c r="A91" s="5" t="inlineStr">
        <is>
          <t>Deferred revenue (current + non-current)</t>
        </is>
      </c>
      <c r="B91" s="20" t="n">
        <v>5975.2</v>
      </c>
      <c r="C91" s="7" t="inlineStr">
        <is>
          <t>$M</t>
        </is>
      </c>
      <c r="D91" s="5" t="inlineStr">
        <is>
          <t>S1</t>
        </is>
      </c>
      <c r="E91" s="5" t="inlineStr">
        <is>
          <t>2026-06-30</t>
        </is>
      </c>
      <c r="L91" s="7" t="inlineStr">
        <is>
          <t>979.4 + 4,995.8.</t>
        </is>
      </c>
    </row>
    <row r="92">
      <c r="A92" s="5" t="inlineStr">
        <is>
          <t>Debt (current + non-current, carrying)</t>
        </is>
      </c>
      <c r="B92" s="20" t="n">
        <v>8545.700000000001</v>
      </c>
      <c r="C92" s="7" t="inlineStr">
        <is>
          <t>$M</t>
        </is>
      </c>
      <c r="D92" s="5" t="inlineStr">
        <is>
          <t>S1</t>
        </is>
      </c>
      <c r="E92" s="5" t="inlineStr">
        <is>
          <t>2026-06-30</t>
        </is>
      </c>
      <c r="L92" s="7" t="inlineStr">
        <is>
          <t>46.7 + 8,499.0.</t>
        </is>
      </c>
    </row>
    <row r="93">
      <c r="A93" s="5" t="inlineStr">
        <is>
          <t>Operating lease liabilities (non-current)</t>
        </is>
      </c>
      <c r="B93" s="20" t="n">
        <v>1510.4</v>
      </c>
      <c r="C93" s="7" t="inlineStr">
        <is>
          <t>$M</t>
        </is>
      </c>
      <c r="D93" s="5" t="inlineStr">
        <is>
          <t>S1</t>
        </is>
      </c>
      <c r="E93" s="5" t="inlineStr">
        <is>
          <t>2026-06-30</t>
        </is>
      </c>
      <c r="L93" s="7" t="inlineStr"/>
    </row>
    <row r="94">
      <c r="A94" s="5" t="inlineStr">
        <is>
          <t>Other accrued liabilities (non-current)</t>
        </is>
      </c>
      <c r="B94" s="20" t="n">
        <v>229.7</v>
      </c>
      <c r="C94" s="7" t="inlineStr">
        <is>
          <t>$M</t>
        </is>
      </c>
      <c r="D94" s="5" t="inlineStr">
        <is>
          <t>S1</t>
        </is>
      </c>
      <c r="E94" s="5" t="inlineStr">
        <is>
          <t>2026-06-30</t>
        </is>
      </c>
      <c r="L94" s="7" t="inlineStr"/>
    </row>
    <row r="95">
      <c r="A95" s="5" t="inlineStr">
        <is>
          <t>Total shareholders' equity (incl. NCI 1.0)</t>
        </is>
      </c>
      <c r="B95" s="20" t="n">
        <v>10340.5</v>
      </c>
      <c r="C95" s="7" t="inlineStr">
        <is>
          <t>$M</t>
        </is>
      </c>
      <c r="D95" s="5" t="inlineStr">
        <is>
          <t>S1</t>
        </is>
      </c>
      <c r="E95" s="5" t="inlineStr">
        <is>
          <t>2026-06-30</t>
        </is>
      </c>
      <c r="L95" s="7" t="inlineStr"/>
    </row>
    <row r="96">
      <c r="A96" s="5" t="inlineStr">
        <is>
          <t>Total assets (reported, for check)</t>
        </is>
      </c>
      <c r="B96" s="20" t="n">
        <v>27961.5</v>
      </c>
      <c r="C96" s="7" t="inlineStr">
        <is>
          <t>$M</t>
        </is>
      </c>
      <c r="D96" s="5" t="inlineStr">
        <is>
          <t>S1</t>
        </is>
      </c>
      <c r="E96" s="5" t="inlineStr">
        <is>
          <t>2026-06-30</t>
        </is>
      </c>
      <c r="L96" s="7" t="inlineStr"/>
    </row>
    <row r="97">
      <c r="A97" s="5" t="inlineStr">
        <is>
          <t>H1'26 convertible notes proceeds, net of issuance costs</t>
        </is>
      </c>
      <c r="B97" s="20" t="n">
        <v>4293.7</v>
      </c>
      <c r="C97" s="7" t="inlineStr">
        <is>
          <t>$M</t>
        </is>
      </c>
      <c r="D97" s="5" t="inlineStr">
        <is>
          <t>S1</t>
        </is>
      </c>
      <c r="E97" s="5" t="inlineStr">
        <is>
          <t>2026-06-30</t>
        </is>
      </c>
      <c r="L97" s="7" t="inlineStr">
        <is>
          <t>4,337.5 - 43.8.</t>
        </is>
      </c>
    </row>
    <row r="98">
      <c r="A98" s="5" t="inlineStr">
        <is>
          <t>H1'26 equity proceeds (ATM net + NVIDIA PFW + option exercises)</t>
        </is>
      </c>
      <c r="B98" s="20" t="n">
        <v>4866.7</v>
      </c>
      <c r="C98" s="7" t="inlineStr">
        <is>
          <t>$M</t>
        </is>
      </c>
      <c r="D98" s="5" t="inlineStr">
        <is>
          <t>S1</t>
        </is>
      </c>
      <c r="E98" s="5" t="inlineStr">
        <is>
          <t>2026-06-30</t>
        </is>
      </c>
      <c r="L98" s="7" t="inlineStr">
        <is>
          <t>2,846.7 - 35.6 + 2,000.0 + 55.6.</t>
        </is>
      </c>
    </row>
    <row r="99">
      <c r="A99" s="5" t="inlineStr">
        <is>
          <t>H1'26 acquisitions &amp; other investing (ex-capex)</t>
        </is>
      </c>
      <c r="B99" s="20" t="n">
        <v>-158.5</v>
      </c>
      <c r="C99" s="7" t="inlineStr">
        <is>
          <t>$M</t>
        </is>
      </c>
      <c r="D99" s="5" t="inlineStr">
        <is>
          <t>S1</t>
        </is>
      </c>
      <c r="E99" s="5" t="inlineStr">
        <is>
          <t>2026-06-30</t>
        </is>
      </c>
      <c r="L99" s="7" t="inlineStr">
        <is>
          <t>Acquisitions -251.6, other +93.1.</t>
        </is>
      </c>
    </row>
    <row r="100"/>
    <row r="101">
      <c r="A101" s="3" t="inlineStr">
        <is>
          <t>F. Comparable companies (market data at close 2026-10-14; fundamentals per latest filings)</t>
        </is>
      </c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</row>
    <row r="102">
      <c r="A102" s="13" t="inlineStr">
        <is>
          <t>Company</t>
        </is>
      </c>
      <c r="B102" s="18" t="inlineStr">
        <is>
          <t>Price $</t>
        </is>
      </c>
      <c r="C102" s="18" t="inlineStr">
        <is>
          <t>Shares M</t>
        </is>
      </c>
      <c r="D102" s="18" t="inlineStr">
        <is>
          <t>Cash $M</t>
        </is>
      </c>
      <c r="E102" s="18" t="inlineStr">
        <is>
          <t>Debt $M</t>
        </is>
      </c>
      <c r="F102" s="18" t="inlineStr">
        <is>
          <t>Fwd revenue</t>
        </is>
      </c>
      <c r="G102" s="18" t="inlineStr">
        <is>
          <t>Fwd EBITDA</t>
        </is>
      </c>
      <c r="H102" s="18" t="inlineStr">
        <is>
          <t>Run-rate/ARR</t>
        </is>
      </c>
      <c r="I102" s="18" t="inlineStr"/>
      <c r="J102" s="18" t="inlineStr"/>
      <c r="K102" s="18" t="inlineStr">
        <is>
          <t>Source</t>
        </is>
      </c>
      <c r="L102" s="18" t="inlineStr">
        <is>
          <t>Basis</t>
        </is>
      </c>
    </row>
    <row r="103">
      <c r="A103" s="5" t="inlineStr">
        <is>
          <t>CoreWeave (CRWV)</t>
        </is>
      </c>
      <c r="B103" s="19" t="n">
        <v>65.78</v>
      </c>
      <c r="C103" s="20" t="n">
        <v>551.54</v>
      </c>
      <c r="D103" s="20" t="n">
        <v>5524</v>
      </c>
      <c r="E103" s="20" t="n">
        <v>35068</v>
      </c>
      <c r="F103" s="20" t="n">
        <v>12800</v>
      </c>
      <c r="G103" s="25" t="inlineStr">
        <is>
          <t>n.a.</t>
        </is>
      </c>
      <c r="H103" s="20" t="n">
        <v>19000</v>
      </c>
      <c r="K103" s="5" t="inlineStr">
        <is>
          <t>S14, S15, S16</t>
        </is>
      </c>
      <c r="L103" s="7" t="inlineStr">
        <is>
          <t>Debt ex-leases at Jun-30-26 (S15). Revenue = FY26 guide mid ($12.4-13.2B). Run-rate = YE26 guide mid ($18.5-19.5B). EBITDA = ASSUMPTION: Q2-26 59% margin x revenue.</t>
        </is>
      </c>
    </row>
    <row r="104">
      <c r="A104" s="5" t="inlineStr">
        <is>
          <t>Oracle (ORCL)</t>
        </is>
      </c>
      <c r="B104" s="19" t="n">
        <v>130.55</v>
      </c>
      <c r="C104" s="20" t="n">
        <v>3030</v>
      </c>
      <c r="D104" s="20" t="n">
        <v>37080</v>
      </c>
      <c r="E104" s="20" t="n">
        <v>125300</v>
      </c>
      <c r="F104" s="20" t="n">
        <v>90000</v>
      </c>
      <c r="G104" s="25" t="inlineStr">
        <is>
          <t>n.a.</t>
        </is>
      </c>
      <c r="H104" s="25" t="inlineStr">
        <is>
          <t>n.a.</t>
        </is>
      </c>
      <c r="K104" s="5" t="inlineStr">
        <is>
          <t>S14, S17</t>
        </is>
      </c>
      <c r="L104" s="7" t="inlineStr">
        <is>
          <t>FY27 (May-27) revenue guide '&gt;$90B'. EBITDA = ASSUMPTION: LTM EBITDA $34.43B scaled by FY27/LTM revenue ($71.78B).</t>
        </is>
      </c>
    </row>
    <row r="105">
      <c r="A105" s="5" t="inlineStr">
        <is>
          <t>IREN (IREN)</t>
        </is>
      </c>
      <c r="B105" s="19" t="n">
        <v>30.56</v>
      </c>
      <c r="C105" s="20" t="n">
        <v>394.06</v>
      </c>
      <c r="D105" s="20" t="n">
        <v>5900</v>
      </c>
      <c r="E105" s="20" t="n">
        <v>7840</v>
      </c>
      <c r="F105" s="25" t="inlineStr">
        <is>
          <t>n.a.</t>
        </is>
      </c>
      <c r="G105" s="25" t="inlineStr">
        <is>
          <t>n.a.</t>
        </is>
      </c>
      <c r="H105" s="20" t="n">
        <v>4000</v>
      </c>
      <c r="K105" s="5" t="inlineStr">
        <is>
          <t>S14, S18</t>
        </is>
      </c>
      <c r="L105" s="7" t="inlineStr">
        <is>
          <t>Reference only (mining legacy). Run-rate = contracted ARR for 2026 capacity (&gt;$4B). EBITDA n.m.</t>
        </is>
      </c>
    </row>
    <row r="106">
      <c r="A106" s="5" t="inlineStr">
        <is>
          <t>CoreWeave Q2-26 adj. EBITDA margin</t>
        </is>
      </c>
      <c r="B106" s="22" t="n">
        <v>0.59</v>
      </c>
      <c r="C106" s="7" t="inlineStr">
        <is>
          <t>%</t>
        </is>
      </c>
      <c r="D106" s="5" t="inlineStr">
        <is>
          <t>S15</t>
        </is>
      </c>
      <c r="E106" s="5" t="inlineStr">
        <is>
          <t>2026-08-11</t>
        </is>
      </c>
      <c r="L106" s="7" t="inlineStr">
        <is>
          <t>Used for CRWV FY26 EBITDA estimate (assumption that margin holds).</t>
        </is>
      </c>
    </row>
    <row r="107">
      <c r="A107" s="5" t="inlineStr">
        <is>
          <t>Oracle LTM EBITDA</t>
        </is>
      </c>
      <c r="B107" s="20" t="n">
        <v>34430</v>
      </c>
      <c r="C107" s="7" t="inlineStr">
        <is>
          <t>$M</t>
        </is>
      </c>
      <c r="D107" s="5" t="inlineStr">
        <is>
          <t>S14</t>
        </is>
      </c>
      <c r="E107" s="5" t="inlineStr">
        <is>
          <t>2026-10-14</t>
        </is>
      </c>
      <c r="L107" s="7" t="inlineStr"/>
    </row>
    <row r="108">
      <c r="A108" s="5" t="inlineStr">
        <is>
          <t>Oracle LTM revenue</t>
        </is>
      </c>
      <c r="B108" s="20" t="n">
        <v>71780</v>
      </c>
      <c r="C108" s="7" t="inlineStr">
        <is>
          <t>$M</t>
        </is>
      </c>
      <c r="D108" s="5" t="inlineStr">
        <is>
          <t>S14</t>
        </is>
      </c>
      <c r="E108" s="5" t="inlineStr">
        <is>
          <t>2026-10-14</t>
        </is>
      </c>
      <c r="L108" s="7" t="inlineStr"/>
    </row>
    <row r="109"/>
    <row r="110">
      <c r="A110" s="3" t="inlineStr">
        <is>
          <t>G. Cost of capital inputs</t>
        </is>
      </c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</row>
    <row r="111">
      <c r="A111" s="13" t="inlineStr">
        <is>
          <t>Item</t>
        </is>
      </c>
      <c r="B111" s="18" t="inlineStr">
        <is>
          <t>Value</t>
        </is>
      </c>
      <c r="C111" s="18" t="inlineStr">
        <is>
          <t>Unit</t>
        </is>
      </c>
      <c r="D111" s="18" t="inlineStr">
        <is>
          <t>Source</t>
        </is>
      </c>
      <c r="E111" s="18" t="inlineStr">
        <is>
          <t>As of</t>
        </is>
      </c>
      <c r="F111" s="18" t="inlineStr"/>
      <c r="G111" s="18" t="inlineStr"/>
      <c r="H111" s="18" t="inlineStr"/>
      <c r="I111" s="18" t="inlineStr"/>
      <c r="J111" s="18" t="inlineStr"/>
      <c r="K111" s="18" t="inlineStr"/>
      <c r="L111" s="18" t="inlineStr">
        <is>
          <t>Note</t>
        </is>
      </c>
    </row>
    <row r="112">
      <c r="A112" s="5" t="inlineStr">
        <is>
          <t>10-year US Treasury yield</t>
        </is>
      </c>
      <c r="B112" s="26" t="n">
        <v>0.0521</v>
      </c>
      <c r="C112" s="7" t="inlineStr">
        <is>
          <t>%</t>
        </is>
      </c>
      <c r="D112" s="5" t="inlineStr">
        <is>
          <t>S19</t>
        </is>
      </c>
      <c r="E112" s="5" t="inlineStr">
        <is>
          <t>2026-10-13</t>
        </is>
      </c>
      <c r="L112" s="7" t="inlineStr">
        <is>
          <t>FRED DGS10.</t>
        </is>
      </c>
    </row>
    <row r="113">
      <c r="A113" s="5" t="inlineStr">
        <is>
          <t>US implied equity risk premium</t>
        </is>
      </c>
      <c r="B113" s="26" t="n">
        <v>0.042</v>
      </c>
      <c r="C113" s="7" t="inlineStr">
        <is>
          <t>%</t>
        </is>
      </c>
      <c r="D113" s="5" t="inlineStr">
        <is>
          <t>S20</t>
        </is>
      </c>
      <c r="E113" s="5" t="inlineStr">
        <is>
          <t>2026-10-01</t>
        </is>
      </c>
      <c r="L113" s="7" t="inlineStr">
        <is>
          <t>Damodaran, trailing-12m adjusted payout basis.</t>
        </is>
      </c>
    </row>
    <row r="114">
      <c r="A114" s="5" t="inlineStr">
        <is>
          <t>SOFR</t>
        </is>
      </c>
      <c r="B114" s="26" t="n">
        <v>0.0389</v>
      </c>
      <c r="C114" s="7" t="inlineStr">
        <is>
          <t>%</t>
        </is>
      </c>
      <c r="D114" s="5" t="inlineStr">
        <is>
          <t>S19</t>
        </is>
      </c>
      <c r="E114" s="5" t="inlineStr">
        <is>
          <t>2026-10-13</t>
        </is>
      </c>
      <c r="L114" s="7" t="inlineStr">
        <is>
          <t>FRED SOFR.</t>
        </is>
      </c>
    </row>
    <row r="115">
      <c r="A115" s="5" t="inlineStr">
        <is>
          <t>Secured facility spread over SOFR</t>
        </is>
      </c>
      <c r="B115" s="26" t="n">
        <v>0.025</v>
      </c>
      <c r="C115" s="7" t="inlineStr">
        <is>
          <t>%</t>
        </is>
      </c>
      <c r="D115" s="5" t="inlineStr">
        <is>
          <t>S2</t>
        </is>
      </c>
      <c r="E115" s="5" t="inlineStr">
        <is>
          <t>2026-08-12</t>
        </is>
      </c>
      <c r="L115" s="7" t="inlineStr"/>
    </row>
    <row r="116">
      <c r="A116" s="5" t="inlineStr">
        <is>
          <t>NBIS 5Y beta (third-party, memo)</t>
        </is>
      </c>
      <c r="B116" s="27" t="n">
        <v>1.46</v>
      </c>
      <c r="C116" s="7" t="inlineStr">
        <is>
          <t>x</t>
        </is>
      </c>
      <c r="D116" s="5" t="inlineStr">
        <is>
          <t>S14</t>
        </is>
      </c>
      <c r="E116" s="5" t="inlineStr">
        <is>
          <t>2026-10-14</t>
        </is>
      </c>
      <c r="L116" s="7" t="inlineStr">
        <is>
          <t>Distorted by 2022-24 trading suspension; not used directly.</t>
        </is>
      </c>
    </row>
    <row r="117">
      <c r="A117" s="5" t="inlineStr">
        <is>
          <t>ORCL 5Y beta (memo)</t>
        </is>
      </c>
      <c r="B117" s="27" t="n">
        <v>1.77</v>
      </c>
      <c r="C117" s="7" t="inlineStr">
        <is>
          <t>x</t>
        </is>
      </c>
      <c r="D117" s="5" t="inlineStr">
        <is>
          <t>S14</t>
        </is>
      </c>
      <c r="E117" s="5" t="inlineStr">
        <is>
          <t>2026-10-14</t>
        </is>
      </c>
      <c r="L117" s="7" t="inlineStr"/>
    </row>
    <row r="118">
      <c r="A118" s="5" t="inlineStr">
        <is>
          <t>IREN 5Y beta (memo)</t>
        </is>
      </c>
      <c r="B118" s="27" t="n">
        <v>4.27</v>
      </c>
      <c r="C118" s="7" t="inlineStr">
        <is>
          <t>x</t>
        </is>
      </c>
      <c r="D118" s="5" t="inlineStr">
        <is>
          <t>S14</t>
        </is>
      </c>
      <c r="E118" s="5" t="inlineStr">
        <is>
          <t>2026-10-14</t>
        </is>
      </c>
      <c r="L118" s="7" t="inlineStr"/>
    </row>
    <row r="119"/>
    <row r="120">
      <c r="A120" s="3" t="inlineStr">
        <is>
          <t>H. Source register</t>
        </is>
      </c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</row>
    <row r="121">
      <c r="A121" s="13" t="inlineStr">
        <is>
          <t>Document</t>
        </is>
      </c>
      <c r="B121" s="18" t="inlineStr">
        <is>
          <t>ID</t>
        </is>
      </c>
      <c r="C121" s="18" t="inlineStr">
        <is>
          <t>Date</t>
        </is>
      </c>
      <c r="D121" s="18" t="inlineStr"/>
      <c r="E121" s="18" t="inlineStr"/>
      <c r="F121" s="18" t="inlineStr"/>
      <c r="G121" s="18" t="inlineStr"/>
      <c r="H121" s="18" t="inlineStr"/>
      <c r="I121" s="18" t="inlineStr"/>
      <c r="J121" s="18" t="inlineStr"/>
      <c r="K121" s="18" t="inlineStr"/>
      <c r="L121" s="18" t="inlineStr">
        <is>
          <t>URL</t>
        </is>
      </c>
    </row>
    <row r="122">
      <c r="A122" s="5" t="inlineStr">
        <is>
          <t>Nebius Q2-26 earnings release (6-K Ex. 99.1): P&amp;L, balance sheet, cash flow</t>
        </is>
      </c>
      <c r="B122" s="8" t="inlineStr">
        <is>
          <t>S1</t>
        </is>
      </c>
      <c r="C122" s="5" t="inlineStr">
        <is>
          <t>2026-08-12</t>
        </is>
      </c>
      <c r="L122" s="7" t="inlineStr">
        <is>
          <t>https://www.sec.gov/Archives/edgar/data/0001513845/000110465926094568/tm2622968d1_ex99-1.htm</t>
        </is>
      </c>
    </row>
    <row r="123">
      <c r="A123" s="5" t="inlineStr">
        <is>
          <t>Nebius Q2-26 letter to shareholders (6-K Ex. 99.2): ARR, prepayments, power, deal yields</t>
        </is>
      </c>
      <c r="B123" s="8" t="inlineStr">
        <is>
          <t>S2</t>
        </is>
      </c>
      <c r="C123" s="5" t="inlineStr">
        <is>
          <t>2026-08-12</t>
        </is>
      </c>
      <c r="L123" s="7" t="inlineStr">
        <is>
          <t>https://www.sec.gov/Archives/edgar/data/0001513845/000110465926094568/tm2622968d1_ex99-2.htm</t>
        </is>
      </c>
    </row>
    <row r="124">
      <c r="A124" s="5" t="inlineStr">
        <is>
          <t>Nebius Q1-26 earnings release (6-K Ex. 99.1)</t>
        </is>
      </c>
      <c r="B124" s="8" t="inlineStr">
        <is>
          <t>S3</t>
        </is>
      </c>
      <c r="C124" s="5" t="inlineStr">
        <is>
          <t>2026-05-13</t>
        </is>
      </c>
      <c r="L124" s="7" t="inlineStr">
        <is>
          <t>https://www.sec.gov/Archives/edgar/data/0001513845/000110465926059872/tm2614392d1_ex99-1.htm</t>
        </is>
      </c>
    </row>
    <row r="125">
      <c r="A125" s="5" t="inlineStr">
        <is>
          <t>Nebius Q4/FY2025 earnings release (6-K Ex. 99.1)</t>
        </is>
      </c>
      <c r="B125" s="8" t="inlineStr">
        <is>
          <t>S4</t>
        </is>
      </c>
      <c r="C125" s="5" t="inlineStr">
        <is>
          <t>2026-02-12</t>
        </is>
      </c>
      <c r="L125" s="7" t="inlineStr">
        <is>
          <t>https://www.sec.gov/Archives/edgar/data/1513845/000110465926013946/tm266173d1_ex99-1.htm</t>
        </is>
      </c>
    </row>
    <row r="126">
      <c r="A126" s="5" t="inlineStr">
        <is>
          <t>Nebius Q3-25 earnings release (6-K Ex. 99.1)</t>
        </is>
      </c>
      <c r="B126" s="8" t="inlineStr">
        <is>
          <t>S5</t>
        </is>
      </c>
      <c r="C126" s="5" t="inlineStr">
        <is>
          <t>2025-11-12</t>
        </is>
      </c>
      <c r="L126" s="7" t="inlineStr">
        <is>
          <t>https://www.sec.gov/Archives/edgar/data/1513845/000110465925109806/tm2530882d1_ex99-1.htm</t>
        </is>
      </c>
    </row>
    <row r="127">
      <c r="A127" s="5" t="inlineStr">
        <is>
          <t>Q2-26 earnings call guidance (CFO reaffirmed FY26 revenue $3.0-3.4B, ~40% adj. EBITDA margin, capex $20-25B; 800MW-1GW connected) - via call coverage; verify vs transcript</t>
        </is>
      </c>
      <c r="B127" s="8" t="inlineStr">
        <is>
          <t>S6</t>
        </is>
      </c>
      <c r="C127" s="5" t="inlineStr">
        <is>
          <t>2026-08-12</t>
        </is>
      </c>
      <c r="L127" s="7" t="inlineStr">
        <is>
          <t>https://finance.yahoo.com/technology/ai/articles/nebius-q2-2026-earnings-beat-130010966.html</t>
        </is>
      </c>
    </row>
    <row r="128">
      <c r="A128" s="5" t="inlineStr">
        <is>
          <t>Nebius 6-K: pricing of $5.0B convertible notes (terms, conversion prices, est. net proceeds)</t>
        </is>
      </c>
      <c r="B128" s="8" t="inlineStr">
        <is>
          <t>S7</t>
        </is>
      </c>
      <c r="C128" s="5" t="inlineStr">
        <is>
          <t>2026-08-20</t>
        </is>
      </c>
      <c r="L128" s="7" t="inlineStr">
        <is>
          <t>https://www.sec.gov/Archives/edgar/data/0001513845/000110465926098924/tm2623617d1_ex99-1.htm</t>
        </is>
      </c>
    </row>
    <row r="129">
      <c r="A129" s="5" t="inlineStr">
        <is>
          <t>Nebius 6-K: closing of $5.75B convertible notes; exchange of $800M 2029/2031 notes</t>
        </is>
      </c>
      <c r="B129" s="8" t="inlineStr">
        <is>
          <t>S8</t>
        </is>
      </c>
      <c r="C129" s="5" t="inlineStr">
        <is>
          <t>2026-08-24</t>
        </is>
      </c>
      <c r="L129" s="7" t="inlineStr">
        <is>
          <t>https://www.sec.gov/Archives/edgar/data/1513845/000110465926100347/tm2623863d1_ex99-1.htm</t>
        </is>
      </c>
    </row>
    <row r="130">
      <c r="A130" s="5" t="inlineStr">
        <is>
          <t>Nebius 6-K: AGM results (Class A/B shares eligible to vote)</t>
        </is>
      </c>
      <c r="B130" s="8" t="inlineStr">
        <is>
          <t>S9</t>
        </is>
      </c>
      <c r="C130" s="5" t="inlineStr">
        <is>
          <t>2026-08-26</t>
        </is>
      </c>
      <c r="L130" s="7" t="inlineStr">
        <is>
          <t>https://www.sec.gov/Archives/edgar/data/1513845/000110465926101076/tm2624077d1_ex99-1.htm</t>
        </is>
      </c>
    </row>
    <row r="131">
      <c r="A131" s="5" t="inlineStr">
        <is>
          <t>Nebius 6-K: $1.0B convertible notes due 2029/2031 (conversion price ~$51.45)</t>
        </is>
      </c>
      <c r="B131" s="8" t="inlineStr">
        <is>
          <t>S10</t>
        </is>
      </c>
      <c r="C131" s="5" t="inlineStr">
        <is>
          <t>2025-06-02</t>
        </is>
      </c>
      <c r="L131" s="7" t="inlineStr">
        <is>
          <t>https://www.sec.gov/Archives/edgar/data/1513845/000110465925055197/tm2516825d1_6k.htm</t>
        </is>
      </c>
    </row>
    <row r="132">
      <c r="A132" s="5" t="inlineStr">
        <is>
          <t>Nebius press release: pricing of $2.75B convertible notes due 2030/2032 (conv. ~$138.75)</t>
        </is>
      </c>
      <c r="B132" s="8" t="inlineStr">
        <is>
          <t>S11</t>
        </is>
      </c>
      <c r="C132" s="5" t="inlineStr">
        <is>
          <t>2025-09-10</t>
        </is>
      </c>
      <c r="L132" s="7" t="inlineStr">
        <is>
          <t>https://nebius.com/newsroom/nebius-group-announces-pricing-of-upsized-private-offering-of-2-75-billion-of-convertible-senior-notes</t>
        </is>
      </c>
    </row>
    <row r="133">
      <c r="A133" s="5" t="inlineStr">
        <is>
          <t>Nebius press release: pricing of $4.0B convertible notes due 2031/2033 (conv. ~$183.22/$180.31)</t>
        </is>
      </c>
      <c r="B133" s="8" t="inlineStr">
        <is>
          <t>S12</t>
        </is>
      </c>
      <c r="C133" s="5" t="inlineStr">
        <is>
          <t>2026-03-17</t>
        </is>
      </c>
      <c r="L133" s="7" t="inlineStr">
        <is>
          <t>https://nebius.com/newsroom/nebius-group-announces-pricing-of-upsized-private-offering-of-4-0-billion-of-convertible-senior-notes</t>
        </is>
      </c>
    </row>
    <row r="134">
      <c r="A134" s="5" t="inlineStr">
        <is>
          <t>Nebius 6-K: NVIDIA pre-funded warrant (21,065,936 shares, ~$2.0B)</t>
        </is>
      </c>
      <c r="B134" s="8" t="inlineStr">
        <is>
          <t>S13</t>
        </is>
      </c>
      <c r="C134" s="5" t="inlineStr">
        <is>
          <t>2026-03-11</t>
        </is>
      </c>
      <c r="L134" s="7" t="inlineStr">
        <is>
          <t>https://www.sec.gov/Archives/edgar/data/1513845/000110465926026163/tm268532d1_6k.htm</t>
        </is>
      </c>
    </row>
    <row r="135">
      <c r="A135" s="5" t="inlineStr">
        <is>
          <t>stockanalysis.com price history &amp; statistics pages (NBIS, CRWV, ORCL, IREN)</t>
        </is>
      </c>
      <c r="B135" s="8" t="inlineStr">
        <is>
          <t>S14</t>
        </is>
      </c>
      <c r="C135" s="5" t="inlineStr">
        <is>
          <t>2026-10-14</t>
        </is>
      </c>
      <c r="L135" s="7" t="inlineStr">
        <is>
          <t>https://stockanalysis.com/stocks/nbis/statistics/</t>
        </is>
      </c>
    </row>
    <row r="136">
      <c r="A136" s="5" t="inlineStr">
        <is>
          <t>CoreWeave Q2-26 results release (revenue, adj. EBITDA, cash, debt)</t>
        </is>
      </c>
      <c r="B136" s="8" t="inlineStr">
        <is>
          <t>S15</t>
        </is>
      </c>
      <c r="C136" s="5" t="inlineStr">
        <is>
          <t>2026-08-11</t>
        </is>
      </c>
      <c r="L136" s="7" t="inlineStr">
        <is>
          <t>https://investors.coreweave.com/news/news-details/2026/CoreWeave-Reports-Strong-Second-Quarter-2026-Results/default.aspx</t>
        </is>
      </c>
    </row>
    <row r="137">
      <c r="A137" s="5" t="inlineStr">
        <is>
          <t>CoreWeave Q2-26 call guidance (FY26 revenue $12.4-13.2B; YE run-rate $18.5-19.5B) - call coverage</t>
        </is>
      </c>
      <c r="B137" s="8" t="inlineStr">
        <is>
          <t>S16</t>
        </is>
      </c>
      <c r="C137" s="5" t="inlineStr">
        <is>
          <t>2026-08-11</t>
        </is>
      </c>
      <c r="L137" s="7" t="inlineStr">
        <is>
          <t>https://www.marketbeat.com/instant-alerts/coreweave-q2-earnings-call-highlights-2026-08-11/</t>
        </is>
      </c>
    </row>
    <row r="138">
      <c r="A138" s="5" t="inlineStr">
        <is>
          <t>Oracle Q1 FY27 results/guidance (FY27 revenue &gt;$90B; total debt $125.3B)</t>
        </is>
      </c>
      <c r="B138" s="8" t="inlineStr">
        <is>
          <t>S17</t>
        </is>
      </c>
      <c r="C138" s="5" t="inlineStr">
        <is>
          <t>2026-09-10</t>
        </is>
      </c>
      <c r="L138" s="7" t="inlineStr">
        <is>
          <t>https://sec-api.io/insights/oracle-corporation-orcl-financial-and-ratio-analysis-q1-fy2027-filings-cloud-backlog-debt-and-capital-spending-scenarios-to-fy2030</t>
        </is>
      </c>
    </row>
    <row r="139">
      <c r="A139" s="5" t="inlineStr">
        <is>
          <t>IREN FY2026 10-K (shares) and FY26 results coverage (contracted ARR &gt;$4B)</t>
        </is>
      </c>
      <c r="B139" s="8" t="inlineStr">
        <is>
          <t>S18</t>
        </is>
      </c>
      <c r="C139" s="5" t="inlineStr">
        <is>
          <t>2026-08-30</t>
        </is>
      </c>
      <c r="L139" s="7" t="inlineStr">
        <is>
          <t>https://www.sec.gov/Archives/edgar/data/0001878848/000187884826000052/iren-20260630.htm</t>
        </is>
      </c>
    </row>
    <row r="140">
      <c r="A140" s="5" t="inlineStr">
        <is>
          <t>FRED: DGS10 and SOFR daily series</t>
        </is>
      </c>
      <c r="B140" s="8" t="inlineStr">
        <is>
          <t>S19</t>
        </is>
      </c>
      <c r="C140" s="5" t="inlineStr">
        <is>
          <t>2026-10-13</t>
        </is>
      </c>
      <c r="L140" s="7" t="inlineStr">
        <is>
          <t>https://fred.stlouisfed.org/series/DGS10</t>
        </is>
      </c>
    </row>
    <row r="141">
      <c r="A141" s="5" t="inlineStr">
        <is>
          <t>Damodaran Online: implied ERP (Oct 1, 2026)</t>
        </is>
      </c>
      <c r="B141" s="8" t="inlineStr">
        <is>
          <t>S20</t>
        </is>
      </c>
      <c r="C141" s="5" t="inlineStr">
        <is>
          <t>2026-10-01</t>
        </is>
      </c>
      <c r="L141" s="7" t="inlineStr">
        <is>
          <t>https://pages.stern.nyu.edu/~adamodar/</t>
        </is>
      </c>
    </row>
    <row r="142">
      <c r="A142" s="5" t="inlineStr">
        <is>
          <t>Nebius Q4-25 letter/call: YE25 ARR $1.2B; YE26 ARR target $7-9B</t>
        </is>
      </c>
      <c r="B142" s="8" t="inlineStr">
        <is>
          <t>S21</t>
        </is>
      </c>
      <c r="C142" s="5" t="inlineStr">
        <is>
          <t>2026-02-12</t>
        </is>
      </c>
      <c r="L142" s="7" t="inlineStr">
        <is>
          <t>https://www.sec.gov/Archives/edgar/data/1513845/000110465926013946/tm266173d1_ex99-2.htm</t>
        </is>
      </c>
    </row>
    <row r="143">
      <c r="A143" s="5" t="inlineStr">
        <is>
          <t>Analyst assumption (not disclosed) - see basis column on Drivers / Scenarios</t>
        </is>
      </c>
      <c r="B143" s="8" t="inlineStr">
        <is>
          <t>A</t>
        </is>
      </c>
      <c r="C143" s="5" t="inlineStr">
        <is>
          <t>-</t>
        </is>
      </c>
      <c r="L143" s="7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60" customWidth="1" min="10" max="10"/>
  </cols>
  <sheetData>
    <row r="1">
      <c r="A1" s="1" t="inlineStr">
        <is>
          <t>Historical</t>
        </is>
      </c>
    </row>
    <row r="2">
      <c r="A2" s="2" t="inlineStr">
        <is>
          <t>Links to Inputs &amp; Sources (section D). Derived metrics and tie-outs. $M.</t>
        </is>
      </c>
    </row>
    <row r="4">
      <c r="A4" s="13" t="inlineStr">
        <is>
          <t>$M</t>
        </is>
      </c>
      <c r="B4" s="18" t="inlineStr">
        <is>
          <t>Q1'25</t>
        </is>
      </c>
      <c r="C4" s="18" t="inlineStr">
        <is>
          <t>Q2'25</t>
        </is>
      </c>
      <c r="D4" s="18" t="inlineStr">
        <is>
          <t>Q3'25</t>
        </is>
      </c>
      <c r="E4" s="18" t="inlineStr">
        <is>
          <t>Q4'25</t>
        </is>
      </c>
      <c r="F4" s="18" t="inlineStr">
        <is>
          <t>Q1'26</t>
        </is>
      </c>
      <c r="G4" s="18" t="inlineStr">
        <is>
          <t>Q2'26</t>
        </is>
      </c>
      <c r="H4" s="18" t="inlineStr">
        <is>
          <t>FY2024</t>
        </is>
      </c>
      <c r="I4" s="18" t="inlineStr">
        <is>
          <t>FY2025</t>
        </is>
      </c>
      <c r="J4" s="18" t="inlineStr">
        <is>
          <t>Note</t>
        </is>
      </c>
    </row>
    <row r="5">
      <c r="A5" s="3" t="inlineStr">
        <is>
          <t>Income statement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8" t="inlineStr">
        <is>
          <t>Revenue</t>
        </is>
      </c>
      <c r="B6" s="28">
        <f>IF(ISNUMBER('Inputs &amp; Sources'!B56),'Inputs &amp; Sources'!B56,"n.d.")</f>
        <v/>
      </c>
      <c r="C6" s="28">
        <f>IF(ISNUMBER('Inputs &amp; Sources'!C56),'Inputs &amp; Sources'!C56,"n.d.")</f>
        <v/>
      </c>
      <c r="D6" s="28">
        <f>IF(ISNUMBER('Inputs &amp; Sources'!D56),'Inputs &amp; Sources'!D56,"n.d.")</f>
        <v/>
      </c>
      <c r="E6" s="28">
        <f>IF(ISNUMBER('Inputs &amp; Sources'!E56),'Inputs &amp; Sources'!E56,"n.d.")</f>
        <v/>
      </c>
      <c r="F6" s="28">
        <f>IF(ISNUMBER('Inputs &amp; Sources'!F56),'Inputs &amp; Sources'!F56,"n.d.")</f>
        <v/>
      </c>
      <c r="G6" s="28">
        <f>IF(ISNUMBER('Inputs &amp; Sources'!G56),'Inputs &amp; Sources'!G56,"n.d.")</f>
        <v/>
      </c>
      <c r="H6" s="28">
        <f>IF(ISNUMBER('Inputs &amp; Sources'!H56),'Inputs &amp; Sources'!H56,"n.d.")</f>
        <v/>
      </c>
      <c r="I6" s="28">
        <f>IF(ISNUMBER('Inputs &amp; Sources'!I56),'Inputs &amp; Sources'!I56,"n.d.")</f>
        <v/>
      </c>
    </row>
    <row r="7">
      <c r="A7" s="5" t="inlineStr">
        <is>
          <t xml:space="preserve">  YoY growth</t>
        </is>
      </c>
      <c r="F7" s="14">
        <f>F6/B6-1</f>
        <v/>
      </c>
      <c r="G7" s="14">
        <f>G6/C6-1</f>
        <v/>
      </c>
      <c r="I7" s="14">
        <f>I6/H6-1</f>
        <v/>
      </c>
      <c r="J7" s="7" t="inlineStr"/>
    </row>
    <row r="8">
      <c r="A8" s="5" t="inlineStr">
        <is>
          <t xml:space="preserve">  QoQ growth</t>
        </is>
      </c>
      <c r="C8" s="14">
        <f>C6/B6-1</f>
        <v/>
      </c>
      <c r="D8" s="14">
        <f>D6/C6-1</f>
        <v/>
      </c>
      <c r="E8" s="14">
        <f>E6/D6-1</f>
        <v/>
      </c>
      <c r="F8" s="14">
        <f>F6/E6-1</f>
        <v/>
      </c>
      <c r="G8" s="14">
        <f>G6/F6-1</f>
        <v/>
      </c>
      <c r="J8" s="7" t="inlineStr"/>
    </row>
    <row r="9">
      <c r="A9" s="5" t="inlineStr">
        <is>
          <t>Cost of revenues</t>
        </is>
      </c>
      <c r="B9" s="29">
        <f>IF(ISNUMBER('Inputs &amp; Sources'!B57),-'Inputs &amp; Sources'!B57,"n.d.")</f>
        <v/>
      </c>
      <c r="C9" s="29">
        <f>IF(ISNUMBER('Inputs &amp; Sources'!C57),-'Inputs &amp; Sources'!C57,"n.d.")</f>
        <v/>
      </c>
      <c r="D9" s="29">
        <f>IF(ISNUMBER('Inputs &amp; Sources'!D57),-'Inputs &amp; Sources'!D57,"n.d.")</f>
        <v/>
      </c>
      <c r="E9" s="29">
        <f>IF(ISNUMBER('Inputs &amp; Sources'!E57),-'Inputs &amp; Sources'!E57,"n.d.")</f>
        <v/>
      </c>
      <c r="F9" s="29">
        <f>IF(ISNUMBER('Inputs &amp; Sources'!F57),-'Inputs &amp; Sources'!F57,"n.d.")</f>
        <v/>
      </c>
      <c r="G9" s="29">
        <f>IF(ISNUMBER('Inputs &amp; Sources'!G57),-'Inputs &amp; Sources'!G57,"n.d.")</f>
        <v/>
      </c>
      <c r="H9" s="29">
        <f>IF(ISNUMBER('Inputs &amp; Sources'!H57),-'Inputs &amp; Sources'!H57,"n.d.")</f>
        <v/>
      </c>
      <c r="I9" s="29">
        <f>IF(ISNUMBER('Inputs &amp; Sources'!I57),-'Inputs &amp; Sources'!I57,"n.d.")</f>
        <v/>
      </c>
    </row>
    <row r="10">
      <c r="A10" s="5" t="inlineStr">
        <is>
          <t xml:space="preserve">  Gross margin (ex-D&amp;A)</t>
        </is>
      </c>
      <c r="B10" s="14">
        <f>(B6+B9)/B6</f>
        <v/>
      </c>
      <c r="C10" s="14">
        <f>(C6+C9)/C6</f>
        <v/>
      </c>
      <c r="D10" s="14">
        <f>(D6+D9)/D6</f>
        <v/>
      </c>
      <c r="E10" s="14">
        <f>(E6+E9)/E6</f>
        <v/>
      </c>
      <c r="F10" s="14">
        <f>(F6+F9)/F6</f>
        <v/>
      </c>
      <c r="G10" s="14">
        <f>(G6+G9)/G6</f>
        <v/>
      </c>
      <c r="H10" s="14">
        <f>(H6+H9)/H6</f>
        <v/>
      </c>
      <c r="I10" s="14">
        <f>(I6+I9)/I6</f>
        <v/>
      </c>
      <c r="J10" s="7" t="inlineStr"/>
    </row>
    <row r="11">
      <c r="A11" s="5" t="inlineStr">
        <is>
          <t>Product development</t>
        </is>
      </c>
      <c r="B11" s="29">
        <f>IF(ISNUMBER('Inputs &amp; Sources'!B58),-'Inputs &amp; Sources'!B58,"n.d.")</f>
        <v/>
      </c>
      <c r="C11" s="29">
        <f>IF(ISNUMBER('Inputs &amp; Sources'!C58),-'Inputs &amp; Sources'!C58,"n.d.")</f>
        <v/>
      </c>
      <c r="D11" s="29">
        <f>IF(ISNUMBER('Inputs &amp; Sources'!D58),-'Inputs &amp; Sources'!D58,"n.d.")</f>
        <v/>
      </c>
      <c r="E11" s="29">
        <f>IF(ISNUMBER('Inputs &amp; Sources'!E58),-'Inputs &amp; Sources'!E58,"n.d.")</f>
        <v/>
      </c>
      <c r="F11" s="29">
        <f>IF(ISNUMBER('Inputs &amp; Sources'!F58),-'Inputs &amp; Sources'!F58,"n.d.")</f>
        <v/>
      </c>
      <c r="G11" s="29">
        <f>IF(ISNUMBER('Inputs &amp; Sources'!G58),-'Inputs &amp; Sources'!G58,"n.d.")</f>
        <v/>
      </c>
      <c r="H11" s="29">
        <f>IF(ISNUMBER('Inputs &amp; Sources'!H58),-'Inputs &amp; Sources'!H58,"n.d.")</f>
        <v/>
      </c>
      <c r="I11" s="29">
        <f>IF(ISNUMBER('Inputs &amp; Sources'!I58),-'Inputs &amp; Sources'!I58,"n.d.")</f>
        <v/>
      </c>
    </row>
    <row r="12">
      <c r="A12" s="5" t="inlineStr">
        <is>
          <t>SG&amp;A</t>
        </is>
      </c>
      <c r="B12" s="29">
        <f>IF(ISNUMBER('Inputs &amp; Sources'!B59),-'Inputs &amp; Sources'!B59,"n.d.")</f>
        <v/>
      </c>
      <c r="C12" s="29">
        <f>IF(ISNUMBER('Inputs &amp; Sources'!C59),-'Inputs &amp; Sources'!C59,"n.d.")</f>
        <v/>
      </c>
      <c r="D12" s="29">
        <f>IF(ISNUMBER('Inputs &amp; Sources'!D59),-'Inputs &amp; Sources'!D59,"n.d.")</f>
        <v/>
      </c>
      <c r="E12" s="29">
        <f>IF(ISNUMBER('Inputs &amp; Sources'!E59),-'Inputs &amp; Sources'!E59,"n.d.")</f>
        <v/>
      </c>
      <c r="F12" s="29">
        <f>IF(ISNUMBER('Inputs &amp; Sources'!F59),-'Inputs &amp; Sources'!F59,"n.d.")</f>
        <v/>
      </c>
      <c r="G12" s="29">
        <f>IF(ISNUMBER('Inputs &amp; Sources'!G59),-'Inputs &amp; Sources'!G59,"n.d.")</f>
        <v/>
      </c>
      <c r="H12" s="29">
        <f>IF(ISNUMBER('Inputs &amp; Sources'!H59),-'Inputs &amp; Sources'!H59,"n.d.")</f>
        <v/>
      </c>
      <c r="I12" s="29">
        <f>IF(ISNUMBER('Inputs &amp; Sources'!I59),-'Inputs &amp; Sources'!I59,"n.d.")</f>
        <v/>
      </c>
    </row>
    <row r="13">
      <c r="A13" s="5" t="inlineStr">
        <is>
          <t>D&amp;A</t>
        </is>
      </c>
      <c r="B13" s="29">
        <f>IF(ISNUMBER('Inputs &amp; Sources'!B60),-'Inputs &amp; Sources'!B60,"n.d.")</f>
        <v/>
      </c>
      <c r="C13" s="29">
        <f>IF(ISNUMBER('Inputs &amp; Sources'!C60),-'Inputs &amp; Sources'!C60,"n.d.")</f>
        <v/>
      </c>
      <c r="D13" s="29">
        <f>IF(ISNUMBER('Inputs &amp; Sources'!D60),-'Inputs &amp; Sources'!D60,"n.d.")</f>
        <v/>
      </c>
      <c r="E13" s="29">
        <f>IF(ISNUMBER('Inputs &amp; Sources'!E60),-'Inputs &amp; Sources'!E60,"n.d.")</f>
        <v/>
      </c>
      <c r="F13" s="29">
        <f>IF(ISNUMBER('Inputs &amp; Sources'!F60),-'Inputs &amp; Sources'!F60,"n.d.")</f>
        <v/>
      </c>
      <c r="G13" s="29">
        <f>IF(ISNUMBER('Inputs &amp; Sources'!G60),-'Inputs &amp; Sources'!G60,"n.d.")</f>
        <v/>
      </c>
      <c r="H13" s="29">
        <f>IF(ISNUMBER('Inputs &amp; Sources'!H60),-'Inputs &amp; Sources'!H60,"n.d.")</f>
        <v/>
      </c>
      <c r="I13" s="29">
        <f>IF(ISNUMBER('Inputs &amp; Sources'!I60),-'Inputs &amp; Sources'!I60,"n.d.")</f>
        <v/>
      </c>
    </row>
    <row r="14">
      <c r="A14" s="8" t="inlineStr">
        <is>
          <t>Operating income/(loss) - recomputed</t>
        </is>
      </c>
      <c r="B14" s="28">
        <f>B6+B9+B11+B12+B13</f>
        <v/>
      </c>
      <c r="C14" s="28">
        <f>C6+C9+C11+C12+C13</f>
        <v/>
      </c>
      <c r="D14" s="28">
        <f>D6+D9+D11+D12+D13</f>
        <v/>
      </c>
      <c r="E14" s="28">
        <f>E6+E9+E11+E12+E13</f>
        <v/>
      </c>
      <c r="F14" s="28">
        <f>F6+F9+F11+F12+F13</f>
        <v/>
      </c>
      <c r="G14" s="28">
        <f>G6+G9+G11+G12+G13</f>
        <v/>
      </c>
      <c r="H14" s="28">
        <f>H6+H9+H11+H12+H13</f>
        <v/>
      </c>
      <c r="I14" s="28">
        <f>I6+I9+I11+I12+I13</f>
        <v/>
      </c>
      <c r="J14" s="7" t="inlineStr"/>
    </row>
    <row r="15">
      <c r="A15" s="5" t="inlineStr">
        <is>
          <t xml:space="preserve">  Check vs reported (0 = ties)</t>
        </is>
      </c>
      <c r="B15" s="29">
        <f>ROUND(B14-'Inputs &amp; Sources'!B61,1)</f>
        <v/>
      </c>
      <c r="C15" s="29">
        <f>ROUND(C14-'Inputs &amp; Sources'!C61,1)</f>
        <v/>
      </c>
      <c r="D15" s="29">
        <f>ROUND(D14-'Inputs &amp; Sources'!D61,1)</f>
        <v/>
      </c>
      <c r="E15" s="29">
        <f>ROUND(E14-'Inputs &amp; Sources'!E61,1)</f>
        <v/>
      </c>
      <c r="F15" s="29">
        <f>ROUND(F14-'Inputs &amp; Sources'!F61,1)</f>
        <v/>
      </c>
      <c r="G15" s="29">
        <f>ROUND(G14-'Inputs &amp; Sources'!G61,1)</f>
        <v/>
      </c>
      <c r="H15" s="29">
        <f>ROUND(H14-'Inputs &amp; Sources'!H61,1)</f>
        <v/>
      </c>
      <c r="I15" s="29">
        <f>ROUND(I14-'Inputs &amp; Sources'!I61,1)</f>
        <v/>
      </c>
      <c r="J15" s="7" t="inlineStr"/>
    </row>
    <row r="16">
      <c r="A16" s="5" t="inlineStr">
        <is>
          <t>Interest income</t>
        </is>
      </c>
      <c r="B16" s="29">
        <f>IF(ISNUMBER('Inputs &amp; Sources'!B62),'Inputs &amp; Sources'!B62,"n.d.")</f>
        <v/>
      </c>
      <c r="C16" s="29">
        <f>IF(ISNUMBER('Inputs &amp; Sources'!C62),'Inputs &amp; Sources'!C62,"n.d.")</f>
        <v/>
      </c>
      <c r="D16" s="29">
        <f>IF(ISNUMBER('Inputs &amp; Sources'!D62),'Inputs &amp; Sources'!D62,"n.d.")</f>
        <v/>
      </c>
      <c r="E16" s="29">
        <f>IF(ISNUMBER('Inputs &amp; Sources'!E62),'Inputs &amp; Sources'!E62,"n.d.")</f>
        <v/>
      </c>
      <c r="F16" s="29">
        <f>IF(ISNUMBER('Inputs &amp; Sources'!F62),'Inputs &amp; Sources'!F62,"n.d.")</f>
        <v/>
      </c>
      <c r="G16" s="29">
        <f>IF(ISNUMBER('Inputs &amp; Sources'!G62),'Inputs &amp; Sources'!G62,"n.d.")</f>
        <v/>
      </c>
      <c r="H16" s="29">
        <f>IF(ISNUMBER('Inputs &amp; Sources'!H62),'Inputs &amp; Sources'!H62,"n.d.")</f>
        <v/>
      </c>
      <c r="I16" s="29">
        <f>IF(ISNUMBER('Inputs &amp; Sources'!I62),'Inputs &amp; Sources'!I62,"n.d.")</f>
        <v/>
      </c>
    </row>
    <row r="17">
      <c r="A17" s="5" t="inlineStr">
        <is>
          <t>Interest expense</t>
        </is>
      </c>
      <c r="B17" s="29">
        <f>IF(ISNUMBER('Inputs &amp; Sources'!B63),'Inputs &amp; Sources'!B63,"n.d.")</f>
        <v/>
      </c>
      <c r="C17" s="29">
        <f>IF(ISNUMBER('Inputs &amp; Sources'!C63),'Inputs &amp; Sources'!C63,"n.d.")</f>
        <v/>
      </c>
      <c r="D17" s="29">
        <f>IF(ISNUMBER('Inputs &amp; Sources'!D63),'Inputs &amp; Sources'!D63,"n.d.")</f>
        <v/>
      </c>
      <c r="E17" s="29">
        <f>IF(ISNUMBER('Inputs &amp; Sources'!E63),'Inputs &amp; Sources'!E63,"n.d.")</f>
        <v/>
      </c>
      <c r="F17" s="29">
        <f>IF(ISNUMBER('Inputs &amp; Sources'!F63),'Inputs &amp; Sources'!F63,"n.d.")</f>
        <v/>
      </c>
      <c r="G17" s="29">
        <f>IF(ISNUMBER('Inputs &amp; Sources'!G63),'Inputs &amp; Sources'!G63,"n.d.")</f>
        <v/>
      </c>
      <c r="H17" s="29">
        <f>IF(ISNUMBER('Inputs &amp; Sources'!H63),'Inputs &amp; Sources'!H63,"n.d.")</f>
        <v/>
      </c>
      <c r="I17" s="29">
        <f>IF(ISNUMBER('Inputs &amp; Sources'!I63),'Inputs &amp; Sources'!I63,"n.d.")</f>
        <v/>
      </c>
    </row>
    <row r="18">
      <c r="A18" s="5" t="inlineStr">
        <is>
          <t>Other non-operating, net</t>
        </is>
      </c>
      <c r="B18" s="29">
        <f>IF(ISNUMBER('Inputs &amp; Sources'!B64),'Inputs &amp; Sources'!B64,"n.d.")</f>
        <v/>
      </c>
      <c r="C18" s="29">
        <f>IF(ISNUMBER('Inputs &amp; Sources'!C64),'Inputs &amp; Sources'!C64,"n.d.")</f>
        <v/>
      </c>
      <c r="D18" s="29">
        <f>IF(ISNUMBER('Inputs &amp; Sources'!D64),'Inputs &amp; Sources'!D64,"n.d.")</f>
        <v/>
      </c>
      <c r="E18" s="29">
        <f>IF(ISNUMBER('Inputs &amp; Sources'!E64),'Inputs &amp; Sources'!E64,"n.d.")</f>
        <v/>
      </c>
      <c r="F18" s="29">
        <f>IF(ISNUMBER('Inputs &amp; Sources'!F64),'Inputs &amp; Sources'!F64,"n.d.")</f>
        <v/>
      </c>
      <c r="G18" s="29">
        <f>IF(ISNUMBER('Inputs &amp; Sources'!G64),'Inputs &amp; Sources'!G64,"n.d.")</f>
        <v/>
      </c>
      <c r="H18" s="29">
        <f>IF(ISNUMBER('Inputs &amp; Sources'!H64),'Inputs &amp; Sources'!H64,"n.d.")</f>
        <v/>
      </c>
      <c r="I18" s="29">
        <f>IF(ISNUMBER('Inputs &amp; Sources'!I64),'Inputs &amp; Sources'!I64,"n.d.")</f>
        <v/>
      </c>
    </row>
    <row r="19">
      <c r="A19" s="5" t="inlineStr">
        <is>
          <t>Income tax</t>
        </is>
      </c>
      <c r="B19" s="29">
        <f>IF(ISNUMBER('Inputs &amp; Sources'!B65),'Inputs &amp; Sources'!B65,"n.d.")</f>
        <v/>
      </c>
      <c r="C19" s="29">
        <f>IF(ISNUMBER('Inputs &amp; Sources'!C65),'Inputs &amp; Sources'!C65,"n.d.")</f>
        <v/>
      </c>
      <c r="D19" s="29">
        <f>IF(ISNUMBER('Inputs &amp; Sources'!D65),'Inputs &amp; Sources'!D65,"n.d.")</f>
        <v/>
      </c>
      <c r="E19" s="29">
        <f>IF(ISNUMBER('Inputs &amp; Sources'!E65),'Inputs &amp; Sources'!E65,"n.d.")</f>
        <v/>
      </c>
      <c r="F19" s="29">
        <f>IF(ISNUMBER('Inputs &amp; Sources'!F65),'Inputs &amp; Sources'!F65,"n.d.")</f>
        <v/>
      </c>
      <c r="G19" s="29">
        <f>IF(ISNUMBER('Inputs &amp; Sources'!G65),'Inputs &amp; Sources'!G65,"n.d.")</f>
        <v/>
      </c>
      <c r="H19" s="29">
        <f>IF(ISNUMBER('Inputs &amp; Sources'!H65),'Inputs &amp; Sources'!H65,"n.d.")</f>
        <v/>
      </c>
      <c r="I19" s="29">
        <f>IF(ISNUMBER('Inputs &amp; Sources'!I65),'Inputs &amp; Sources'!I65,"n.d.")</f>
        <v/>
      </c>
    </row>
    <row r="20">
      <c r="A20" s="8" t="inlineStr">
        <is>
          <t>Net income/(loss), continuing - recomputed</t>
        </is>
      </c>
      <c r="B20" s="28">
        <f>B14+B16+B17+B18+B19</f>
        <v/>
      </c>
      <c r="C20" s="28">
        <f>C14+C16+C17+C18+C19</f>
        <v/>
      </c>
      <c r="D20" s="28">
        <f>D14+D16+D17+D18+D19</f>
        <v/>
      </c>
      <c r="E20" s="28">
        <f>E14+E16+E17+E18+E19</f>
        <v/>
      </c>
      <c r="F20" s="28">
        <f>F14+F16+F17+F18+F19</f>
        <v/>
      </c>
      <c r="G20" s="28">
        <f>G14+G16+G17+G18+G19</f>
        <v/>
      </c>
      <c r="H20" s="28">
        <f>H14+H16+H17+H18+H19</f>
        <v/>
      </c>
      <c r="I20" s="28">
        <f>I14+I16+I17+I18+I19</f>
        <v/>
      </c>
      <c r="J20" s="7" t="inlineStr"/>
    </row>
    <row r="21">
      <c r="A21" s="5" t="inlineStr">
        <is>
          <t xml:space="preserve">  Check vs reported (0 = ties)</t>
        </is>
      </c>
      <c r="B21" s="29">
        <f>ROUND(B20-'Inputs &amp; Sources'!B66,1)</f>
        <v/>
      </c>
      <c r="C21" s="29">
        <f>ROUND(C20-'Inputs &amp; Sources'!C66,1)</f>
        <v/>
      </c>
      <c r="D21" s="29">
        <f>ROUND(D20-'Inputs &amp; Sources'!D66,1)</f>
        <v/>
      </c>
      <c r="E21" s="29">
        <f>ROUND(E20-'Inputs &amp; Sources'!E66,1)</f>
        <v/>
      </c>
      <c r="F21" s="29">
        <f>ROUND(F20-'Inputs &amp; Sources'!F66,1)</f>
        <v/>
      </c>
      <c r="G21" s="29">
        <f>ROUND(G20-'Inputs &amp; Sources'!G66,1)</f>
        <v/>
      </c>
      <c r="H21" s="29">
        <f>ROUND(H20-'Inputs &amp; Sources'!H66,1)</f>
        <v/>
      </c>
      <c r="I21" s="29">
        <f>ROUND(I20-'Inputs &amp; Sources'!I66,1)</f>
        <v/>
      </c>
      <c r="J21" s="7" t="inlineStr"/>
    </row>
    <row r="22">
      <c r="A22" s="3" t="inlineStr">
        <is>
          <t>Non-GAAP &amp; cash flow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8" t="inlineStr">
        <is>
          <t>Adjusted EBITDA</t>
        </is>
      </c>
      <c r="B23" s="28">
        <f>IF(ISNUMBER('Inputs &amp; Sources'!B67),'Inputs &amp; Sources'!B67,"n.d.")</f>
        <v/>
      </c>
      <c r="C23" s="28">
        <f>IF(ISNUMBER('Inputs &amp; Sources'!C67),'Inputs &amp; Sources'!C67,"n.d.")</f>
        <v/>
      </c>
      <c r="D23" s="28">
        <f>IF(ISNUMBER('Inputs &amp; Sources'!D67),'Inputs &amp; Sources'!D67,"n.d.")</f>
        <v/>
      </c>
      <c r="E23" s="28">
        <f>IF(ISNUMBER('Inputs &amp; Sources'!E67),'Inputs &amp; Sources'!E67,"n.d.")</f>
        <v/>
      </c>
      <c r="F23" s="28">
        <f>IF(ISNUMBER('Inputs &amp; Sources'!F67),'Inputs &amp; Sources'!F67,"n.d.")</f>
        <v/>
      </c>
      <c r="G23" s="28">
        <f>IF(ISNUMBER('Inputs &amp; Sources'!G67),'Inputs &amp; Sources'!G67,"n.d.")</f>
        <v/>
      </c>
      <c r="H23" s="28">
        <f>IF(ISNUMBER('Inputs &amp; Sources'!H67),'Inputs &amp; Sources'!H67,"n.d.")</f>
        <v/>
      </c>
      <c r="I23" s="28">
        <f>IF(ISNUMBER('Inputs &amp; Sources'!I67),'Inputs &amp; Sources'!I67,"n.d.")</f>
        <v/>
      </c>
    </row>
    <row r="24">
      <c r="A24" s="5" t="inlineStr">
        <is>
          <t xml:space="preserve">  Adj. EBITDA margin</t>
        </is>
      </c>
      <c r="B24" s="14">
        <f>B23/B6</f>
        <v/>
      </c>
      <c r="C24" s="14">
        <f>C23/C6</f>
        <v/>
      </c>
      <c r="D24" s="14">
        <f>D23/D6</f>
        <v/>
      </c>
      <c r="E24" s="14">
        <f>E23/E6</f>
        <v/>
      </c>
      <c r="F24" s="14">
        <f>F23/F6</f>
        <v/>
      </c>
      <c r="G24" s="14">
        <f>G23/G6</f>
        <v/>
      </c>
      <c r="H24" s="14">
        <f>H23/H6</f>
        <v/>
      </c>
      <c r="I24" s="14">
        <f>I23/I6</f>
        <v/>
      </c>
      <c r="J24" s="7" t="inlineStr"/>
    </row>
    <row r="25">
      <c r="A25" s="5" t="inlineStr">
        <is>
          <t>SBC</t>
        </is>
      </c>
      <c r="B25" s="29">
        <f>IF(ISNUMBER('Inputs &amp; Sources'!B68),'Inputs &amp; Sources'!B68,"n.d.")</f>
        <v/>
      </c>
      <c r="C25" s="29">
        <f>IF(ISNUMBER('Inputs &amp; Sources'!C68),'Inputs &amp; Sources'!C68,"n.d.")</f>
        <v/>
      </c>
      <c r="D25" s="29">
        <f>IF(ISNUMBER('Inputs &amp; Sources'!D68),'Inputs &amp; Sources'!D68,"n.d.")</f>
        <v/>
      </c>
      <c r="E25" s="29">
        <f>IF(ISNUMBER('Inputs &amp; Sources'!E68),'Inputs &amp; Sources'!E68,"n.d.")</f>
        <v/>
      </c>
      <c r="F25" s="29">
        <f>IF(ISNUMBER('Inputs &amp; Sources'!F68),'Inputs &amp; Sources'!F68,"n.d.")</f>
        <v/>
      </c>
      <c r="G25" s="29">
        <f>IF(ISNUMBER('Inputs &amp; Sources'!G68),'Inputs &amp; Sources'!G68,"n.d.")</f>
        <v/>
      </c>
      <c r="H25" s="29">
        <f>IF(ISNUMBER('Inputs &amp; Sources'!H68),'Inputs &amp; Sources'!H68,"n.d.")</f>
        <v/>
      </c>
      <c r="I25" s="29">
        <f>IF(ISNUMBER('Inputs &amp; Sources'!I68),'Inputs &amp; Sources'!I68,"n.d.")</f>
        <v/>
      </c>
    </row>
    <row r="26">
      <c r="A26" s="5" t="inlineStr">
        <is>
          <t>Cash from operations</t>
        </is>
      </c>
      <c r="B26" s="29">
        <f>IF(ISNUMBER('Inputs &amp; Sources'!B69),'Inputs &amp; Sources'!B69,"n.d.")</f>
        <v/>
      </c>
      <c r="C26" s="29">
        <f>IF(ISNUMBER('Inputs &amp; Sources'!C69),'Inputs &amp; Sources'!C69,"n.d.")</f>
        <v/>
      </c>
      <c r="D26" s="29">
        <f>IF(ISNUMBER('Inputs &amp; Sources'!D69),'Inputs &amp; Sources'!D69,"n.d.")</f>
        <v/>
      </c>
      <c r="E26" s="29">
        <f>IF(ISNUMBER('Inputs &amp; Sources'!E69),'Inputs &amp; Sources'!E69,"n.d.")</f>
        <v/>
      </c>
      <c r="F26" s="29">
        <f>IF(ISNUMBER('Inputs &amp; Sources'!F69),'Inputs &amp; Sources'!F69,"n.d.")</f>
        <v/>
      </c>
      <c r="G26" s="29">
        <f>IF(ISNUMBER('Inputs &amp; Sources'!G69),'Inputs &amp; Sources'!G69,"n.d.")</f>
        <v/>
      </c>
      <c r="H26" s="29">
        <f>IF(ISNUMBER('Inputs &amp; Sources'!H69),'Inputs &amp; Sources'!H69,"n.d.")</f>
        <v/>
      </c>
      <c r="I26" s="29">
        <f>IF(ISNUMBER('Inputs &amp; Sources'!I69),'Inputs &amp; Sources'!I69,"n.d.")</f>
        <v/>
      </c>
    </row>
    <row r="27">
      <c r="A27" s="5" t="inlineStr">
        <is>
          <t>Capex</t>
        </is>
      </c>
      <c r="B27" s="29">
        <f>IF(ISNUMBER('Inputs &amp; Sources'!B70),'Inputs &amp; Sources'!B70,"n.d.")</f>
        <v/>
      </c>
      <c r="C27" s="29">
        <f>IF(ISNUMBER('Inputs &amp; Sources'!C70),'Inputs &amp; Sources'!C70,"n.d.")</f>
        <v/>
      </c>
      <c r="D27" s="29">
        <f>IF(ISNUMBER('Inputs &amp; Sources'!D70),'Inputs &amp; Sources'!D70,"n.d.")</f>
        <v/>
      </c>
      <c r="E27" s="29">
        <f>IF(ISNUMBER('Inputs &amp; Sources'!E70),'Inputs &amp; Sources'!E70,"n.d.")</f>
        <v/>
      </c>
      <c r="F27" s="29">
        <f>IF(ISNUMBER('Inputs &amp; Sources'!F70),'Inputs &amp; Sources'!F70,"n.d.")</f>
        <v/>
      </c>
      <c r="G27" s="29">
        <f>IF(ISNUMBER('Inputs &amp; Sources'!G70),'Inputs &amp; Sources'!G70,"n.d.")</f>
        <v/>
      </c>
      <c r="H27" s="29">
        <f>IF(ISNUMBER('Inputs &amp; Sources'!H70),'Inputs &amp; Sources'!H70,"n.d.")</f>
        <v/>
      </c>
      <c r="I27" s="29">
        <f>IF(ISNUMBER('Inputs &amp; Sources'!I70),'Inputs &amp; Sources'!I70,"n.d.")</f>
        <v/>
      </c>
    </row>
    <row r="28">
      <c r="A28" s="8" t="inlineStr">
        <is>
          <t>Free cash flow (CFO - capex)</t>
        </is>
      </c>
      <c r="B28" s="28">
        <f>B26-B27</f>
        <v/>
      </c>
      <c r="C28" s="28">
        <f>C26-C27</f>
        <v/>
      </c>
      <c r="D28" s="28">
        <f>D26-D27</f>
        <v/>
      </c>
      <c r="E28" s="28">
        <f>E26-E27</f>
        <v/>
      </c>
      <c r="F28" s="28">
        <f>F26-F27</f>
        <v/>
      </c>
      <c r="G28" s="28">
        <f>G26-G27</f>
        <v/>
      </c>
      <c r="H28" s="28">
        <f>H26-H27</f>
        <v/>
      </c>
      <c r="I28" s="28">
        <f>I26-I27</f>
        <v/>
      </c>
      <c r="J28" s="7" t="inlineStr"/>
    </row>
    <row r="29">
      <c r="A29" s="5" t="inlineStr">
        <is>
          <t xml:space="preserve">  Capex / revenue</t>
        </is>
      </c>
      <c r="B29" s="30">
        <f>B27/B6</f>
        <v/>
      </c>
      <c r="C29" s="30">
        <f>C27/C6</f>
        <v/>
      </c>
      <c r="D29" s="30">
        <f>D27/D6</f>
        <v/>
      </c>
      <c r="E29" s="30">
        <f>E27/E6</f>
        <v/>
      </c>
      <c r="F29" s="30">
        <f>F27/F6</f>
        <v/>
      </c>
      <c r="G29" s="30">
        <f>G27/G6</f>
        <v/>
      </c>
      <c r="H29" s="30">
        <f>H27/H6</f>
        <v/>
      </c>
      <c r="I29" s="30">
        <f>I27/I6</f>
        <v/>
      </c>
      <c r="J29" s="7" t="inlineStr"/>
    </row>
    <row r="30">
      <c r="A30" s="5" t="inlineStr">
        <is>
          <t>Change in deferred revenue (in CFO)</t>
        </is>
      </c>
      <c r="B30" s="29">
        <f>IF(ISNUMBER('Inputs &amp; Sources'!B71),'Inputs &amp; Sources'!B71,"n.d.")</f>
        <v/>
      </c>
      <c r="C30" s="29">
        <f>IF(ISNUMBER('Inputs &amp; Sources'!C71),'Inputs &amp; Sources'!C71,"n.d.")</f>
        <v/>
      </c>
      <c r="D30" s="29">
        <f>IF(ISNUMBER('Inputs &amp; Sources'!D71),'Inputs &amp; Sources'!D71,"n.d.")</f>
        <v/>
      </c>
      <c r="E30" s="29">
        <f>IF(ISNUMBER('Inputs &amp; Sources'!E71),'Inputs &amp; Sources'!E71,"n.d.")</f>
        <v/>
      </c>
      <c r="F30" s="29">
        <f>IF(ISNUMBER('Inputs &amp; Sources'!F71),'Inputs &amp; Sources'!F71,"n.d.")</f>
        <v/>
      </c>
      <c r="G30" s="29">
        <f>IF(ISNUMBER('Inputs &amp; Sources'!G71),'Inputs &amp; Sources'!G71,"n.d.")</f>
        <v/>
      </c>
      <c r="H30" s="29">
        <f>IF(ISNUMBER('Inputs &amp; Sources'!H71),'Inputs &amp; Sources'!H71,"n.d.")</f>
        <v/>
      </c>
      <c r="I30" s="29">
        <f>IF(ISNUMBER('Inputs &amp; Sources'!I71),'Inputs &amp; Sources'!I71,"n.d.")</f>
        <v/>
      </c>
    </row>
    <row r="31">
      <c r="A31" s="5" t="inlineStr">
        <is>
          <t>ARR (end of period)</t>
        </is>
      </c>
      <c r="B31" s="29">
        <f>IF(ISNUMBER('Inputs &amp; Sources'!B72),'Inputs &amp; Sources'!B72,"n.d.")</f>
        <v/>
      </c>
      <c r="C31" s="29">
        <f>IF(ISNUMBER('Inputs &amp; Sources'!C72),'Inputs &amp; Sources'!C72,"n.d.")</f>
        <v/>
      </c>
      <c r="D31" s="29">
        <f>IF(ISNUMBER('Inputs &amp; Sources'!D72),'Inputs &amp; Sources'!D72,"n.d.")</f>
        <v/>
      </c>
      <c r="E31" s="29">
        <f>IF(ISNUMBER('Inputs &amp; Sources'!E72),'Inputs &amp; Sources'!E72,"n.d.")</f>
        <v/>
      </c>
      <c r="F31" s="29">
        <f>IF(ISNUMBER('Inputs &amp; Sources'!F72),'Inputs &amp; Sources'!F72,"n.d.")</f>
        <v/>
      </c>
      <c r="G31" s="29">
        <f>IF(ISNUMBER('Inputs &amp; Sources'!G72),'Inputs &amp; Sources'!G72,"n.d.")</f>
        <v/>
      </c>
      <c r="H31" s="29">
        <f>IF(ISNUMBER('Inputs &amp; Sources'!H72),'Inputs &amp; Sources'!H72,"n.d.")</f>
        <v/>
      </c>
      <c r="I31" s="29">
        <f>IF(ISNUMBER('Inputs &amp; Sources'!I72),'Inputs &amp; Sources'!I72,"n.d.")</f>
        <v/>
      </c>
    </row>
    <row r="32">
      <c r="A32" s="3" t="inlineStr">
        <is>
          <t>Balance sheet (period-end)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5" t="inlineStr">
        <is>
          <t>Cash</t>
        </is>
      </c>
      <c r="B33" s="29">
        <f>IF(ISNUMBER('Inputs &amp; Sources'!B73),'Inputs &amp; Sources'!B73,"n.d.")</f>
        <v/>
      </c>
      <c r="C33" s="29">
        <f>IF(ISNUMBER('Inputs &amp; Sources'!C73),'Inputs &amp; Sources'!C73,"n.d.")</f>
        <v/>
      </c>
      <c r="D33" s="29">
        <f>IF(ISNUMBER('Inputs &amp; Sources'!D73),'Inputs &amp; Sources'!D73,"n.d.")</f>
        <v/>
      </c>
      <c r="E33" s="29">
        <f>IF(ISNUMBER('Inputs &amp; Sources'!E73),'Inputs &amp; Sources'!E73,"n.d.")</f>
        <v/>
      </c>
      <c r="F33" s="29">
        <f>IF(ISNUMBER('Inputs &amp; Sources'!F73),'Inputs &amp; Sources'!F73,"n.d.")</f>
        <v/>
      </c>
      <c r="G33" s="29">
        <f>IF(ISNUMBER('Inputs &amp; Sources'!G73),'Inputs &amp; Sources'!G73,"n.d.")</f>
        <v/>
      </c>
      <c r="H33" s="29">
        <f>IF(ISNUMBER('Inputs &amp; Sources'!H73),'Inputs &amp; Sources'!H73,"n.d.")</f>
        <v/>
      </c>
      <c r="I33" s="29">
        <f>IF(ISNUMBER('Inputs &amp; Sources'!I73),'Inputs &amp; Sources'!I73,"n.d.")</f>
        <v/>
      </c>
    </row>
    <row r="34">
      <c r="A34" s="5" t="inlineStr">
        <is>
          <t>Accounts receivable</t>
        </is>
      </c>
      <c r="B34" s="29">
        <f>IF(ISNUMBER('Inputs &amp; Sources'!B74),'Inputs &amp; Sources'!B74,"n.d.")</f>
        <v/>
      </c>
      <c r="C34" s="29">
        <f>IF(ISNUMBER('Inputs &amp; Sources'!C74),'Inputs &amp; Sources'!C74,"n.d.")</f>
        <v/>
      </c>
      <c r="D34" s="29">
        <f>IF(ISNUMBER('Inputs &amp; Sources'!D74),'Inputs &amp; Sources'!D74,"n.d.")</f>
        <v/>
      </c>
      <c r="E34" s="29">
        <f>IF(ISNUMBER('Inputs &amp; Sources'!E74),'Inputs &amp; Sources'!E74,"n.d.")</f>
        <v/>
      </c>
      <c r="F34" s="29">
        <f>IF(ISNUMBER('Inputs &amp; Sources'!F74),'Inputs &amp; Sources'!F74,"n.d.")</f>
        <v/>
      </c>
      <c r="G34" s="29">
        <f>IF(ISNUMBER('Inputs &amp; Sources'!G74),'Inputs &amp; Sources'!G74,"n.d.")</f>
        <v/>
      </c>
      <c r="H34" s="29">
        <f>IF(ISNUMBER('Inputs &amp; Sources'!H74),'Inputs &amp; Sources'!H74,"n.d.")</f>
        <v/>
      </c>
      <c r="I34" s="29">
        <f>IF(ISNUMBER('Inputs &amp; Sources'!I74),'Inputs &amp; Sources'!I74,"n.d.")</f>
        <v/>
      </c>
    </row>
    <row r="35">
      <c r="A35" s="5" t="inlineStr">
        <is>
          <t>PP&amp;E, net</t>
        </is>
      </c>
      <c r="B35" s="29">
        <f>IF(ISNUMBER('Inputs &amp; Sources'!B75),'Inputs &amp; Sources'!B75,"n.d.")</f>
        <v/>
      </c>
      <c r="C35" s="29">
        <f>IF(ISNUMBER('Inputs &amp; Sources'!C75),'Inputs &amp; Sources'!C75,"n.d.")</f>
        <v/>
      </c>
      <c r="D35" s="29">
        <f>IF(ISNUMBER('Inputs &amp; Sources'!D75),'Inputs &amp; Sources'!D75,"n.d.")</f>
        <v/>
      </c>
      <c r="E35" s="29">
        <f>IF(ISNUMBER('Inputs &amp; Sources'!E75),'Inputs &amp; Sources'!E75,"n.d.")</f>
        <v/>
      </c>
      <c r="F35" s="29">
        <f>IF(ISNUMBER('Inputs &amp; Sources'!F75),'Inputs &amp; Sources'!F75,"n.d.")</f>
        <v/>
      </c>
      <c r="G35" s="29">
        <f>IF(ISNUMBER('Inputs &amp; Sources'!G75),'Inputs &amp; Sources'!G75,"n.d.")</f>
        <v/>
      </c>
      <c r="H35" s="29">
        <f>IF(ISNUMBER('Inputs &amp; Sources'!H75),'Inputs &amp; Sources'!H75,"n.d.")</f>
        <v/>
      </c>
      <c r="I35" s="29">
        <f>IF(ISNUMBER('Inputs &amp; Sources'!I75),'Inputs &amp; Sources'!I75,"n.d.")</f>
        <v/>
      </c>
    </row>
    <row r="36">
      <c r="A36" s="5" t="inlineStr">
        <is>
          <t>Deferred revenue</t>
        </is>
      </c>
      <c r="B36" s="29">
        <f>IF(ISNUMBER('Inputs &amp; Sources'!B76),'Inputs &amp; Sources'!B76,"n.d.")</f>
        <v/>
      </c>
      <c r="C36" s="29">
        <f>IF(ISNUMBER('Inputs &amp; Sources'!C76),'Inputs &amp; Sources'!C76,"n.d.")</f>
        <v/>
      </c>
      <c r="D36" s="29">
        <f>IF(ISNUMBER('Inputs &amp; Sources'!D76),'Inputs &amp; Sources'!D76,"n.d.")</f>
        <v/>
      </c>
      <c r="E36" s="29">
        <f>IF(ISNUMBER('Inputs &amp; Sources'!E76),'Inputs &amp; Sources'!E76,"n.d.")</f>
        <v/>
      </c>
      <c r="F36" s="29">
        <f>IF(ISNUMBER('Inputs &amp; Sources'!F76),'Inputs &amp; Sources'!F76,"n.d.")</f>
        <v/>
      </c>
      <c r="G36" s="29">
        <f>IF(ISNUMBER('Inputs &amp; Sources'!G76),'Inputs &amp; Sources'!G76,"n.d.")</f>
        <v/>
      </c>
      <c r="H36" s="29">
        <f>IF(ISNUMBER('Inputs &amp; Sources'!H76),'Inputs &amp; Sources'!H76,"n.d.")</f>
        <v/>
      </c>
      <c r="I36" s="29">
        <f>IF(ISNUMBER('Inputs &amp; Sources'!I76),'Inputs &amp; Sources'!I76,"n.d.")</f>
        <v/>
      </c>
    </row>
    <row r="37">
      <c r="A37" s="5" t="inlineStr">
        <is>
          <t>Debt</t>
        </is>
      </c>
      <c r="B37" s="29">
        <f>IF(ISNUMBER('Inputs &amp; Sources'!B77),'Inputs &amp; Sources'!B77,"n.d.")</f>
        <v/>
      </c>
      <c r="C37" s="29">
        <f>IF(ISNUMBER('Inputs &amp; Sources'!C77),'Inputs &amp; Sources'!C77,"n.d.")</f>
        <v/>
      </c>
      <c r="D37" s="29">
        <f>IF(ISNUMBER('Inputs &amp; Sources'!D77),'Inputs &amp; Sources'!D77,"n.d.")</f>
        <v/>
      </c>
      <c r="E37" s="29">
        <f>IF(ISNUMBER('Inputs &amp; Sources'!E77),'Inputs &amp; Sources'!E77,"n.d.")</f>
        <v/>
      </c>
      <c r="F37" s="29">
        <f>IF(ISNUMBER('Inputs &amp; Sources'!F77),'Inputs &amp; Sources'!F77,"n.d.")</f>
        <v/>
      </c>
      <c r="G37" s="29">
        <f>IF(ISNUMBER('Inputs &amp; Sources'!G77),'Inputs &amp; Sources'!G77,"n.d.")</f>
        <v/>
      </c>
      <c r="H37" s="29">
        <f>IF(ISNUMBER('Inputs &amp; Sources'!H77),'Inputs &amp; Sources'!H77,"n.d.")</f>
        <v/>
      </c>
      <c r="I37" s="29">
        <f>IF(ISNUMBER('Inputs &amp; Sources'!I77),'Inputs &amp; Sources'!I77,"n.d.")</f>
        <v/>
      </c>
    </row>
    <row r="38">
      <c r="A38" s="5" t="inlineStr">
        <is>
          <t>Equity</t>
        </is>
      </c>
      <c r="B38" s="29">
        <f>IF(ISNUMBER('Inputs &amp; Sources'!B78),'Inputs &amp; Sources'!B78,"n.d.")</f>
        <v/>
      </c>
      <c r="C38" s="29">
        <f>IF(ISNUMBER('Inputs &amp; Sources'!C78),'Inputs &amp; Sources'!C78,"n.d.")</f>
        <v/>
      </c>
      <c r="D38" s="29">
        <f>IF(ISNUMBER('Inputs &amp; Sources'!D78),'Inputs &amp; Sources'!D78,"n.d.")</f>
        <v/>
      </c>
      <c r="E38" s="29">
        <f>IF(ISNUMBER('Inputs &amp; Sources'!E78),'Inputs &amp; Sources'!E78,"n.d.")</f>
        <v/>
      </c>
      <c r="F38" s="29">
        <f>IF(ISNUMBER('Inputs &amp; Sources'!F78),'Inputs &amp; Sources'!F78,"n.d.")</f>
        <v/>
      </c>
      <c r="G38" s="29">
        <f>IF(ISNUMBER('Inputs &amp; Sources'!G78),'Inputs &amp; Sources'!G78,"n.d.")</f>
        <v/>
      </c>
      <c r="H38" s="29">
        <f>IF(ISNUMBER('Inputs &amp; Sources'!H78),'Inputs &amp; Sources'!H78,"n.d.")</f>
        <v/>
      </c>
      <c r="I38" s="29">
        <f>IF(ISNUMBER('Inputs &amp; Sources'!I78),'Inputs &amp; Sources'!I78,"n.d.")</f>
        <v/>
      </c>
    </row>
    <row r="39">
      <c r="A39" s="5" t="inlineStr">
        <is>
          <t>Net debt / (net cash)</t>
        </is>
      </c>
      <c r="B39" s="29">
        <f>IF(AND(ISNUMBER(B37),ISNUMBER(B33)),B37-B33,"n.d.")</f>
        <v/>
      </c>
      <c r="C39" s="29">
        <f>IF(AND(ISNUMBER(C37),ISNUMBER(C33)),C37-C33,"n.d.")</f>
        <v/>
      </c>
      <c r="D39" s="29">
        <f>IF(AND(ISNUMBER(D37),ISNUMBER(D33)),D37-D33,"n.d.")</f>
        <v/>
      </c>
      <c r="E39" s="29">
        <f>IF(AND(ISNUMBER(E37),ISNUMBER(E33)),E37-E33,"n.d.")</f>
        <v/>
      </c>
      <c r="F39" s="29">
        <f>IF(AND(ISNUMBER(F37),ISNUMBER(F33)),F37-F33,"n.d.")</f>
        <v/>
      </c>
      <c r="G39" s="29">
        <f>IF(AND(ISNUMBER(G37),ISNUMBER(G33)),G37-G33,"n.d.")</f>
        <v/>
      </c>
      <c r="H39" s="29">
        <f>IF(AND(ISNUMBER(H37),ISNUMBER(H33)),H37-H33,"n.d.")</f>
        <v/>
      </c>
      <c r="I39" s="29">
        <f>IF(AND(ISNUMBER(I37),ISNUMBER(I33)),I37-I33,"n.d.")</f>
        <v/>
      </c>
      <c r="J39" s="7" t="inlineStr"/>
    </row>
    <row r="40">
      <c r="A40" s="3" t="inlineStr">
        <is>
          <t>Tie-outs: FY2025 = sum of quarters</t>
        </is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5" t="inlineStr">
        <is>
          <t xml:space="preserve">  Revenue: Q1-Q4'25 sum less FY2025 (0 = ties)</t>
        </is>
      </c>
      <c r="I41" s="29">
        <f>ROUND(SUM(B6:E6)-I6,1)</f>
        <v/>
      </c>
    </row>
    <row r="42">
      <c r="A42" s="5" t="inlineStr">
        <is>
          <t xml:space="preserve">  Adj. EBITDA: Q1-Q4'25 sum less FY2025 (0 = ties)</t>
        </is>
      </c>
      <c r="I42" s="29">
        <f>ROUND(SUM(B23:E23)-I23,1)</f>
        <v/>
      </c>
    </row>
    <row r="43">
      <c r="A43" s="5" t="inlineStr">
        <is>
          <t xml:space="preserve">  Capex: Q1-Q4'25 sum less FY2025 (0 = ties)</t>
        </is>
      </c>
      <c r="I43" s="29">
        <f>ROUND(SUM(B27:E27)-I27,1)</f>
        <v/>
      </c>
    </row>
    <row r="44">
      <c r="A44" s="5" t="inlineStr">
        <is>
          <t xml:space="preserve">  CFO: Q1-Q4'25 sum less FY2025 (0 = ties)</t>
        </is>
      </c>
      <c r="I44" s="29">
        <f>ROUND(SUM(B26:E26)-I26,1)</f>
        <v/>
      </c>
    </row>
    <row r="45">
      <c r="A45" s="5" t="inlineStr">
        <is>
          <t xml:space="preserve">  SBC: Q1-Q4'25 sum less FY2025 (0 = ties)</t>
        </is>
      </c>
      <c r="I45" s="29">
        <f>ROUND(SUM(B25:E25)-I25,1)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" customWidth="1" min="13" max="13"/>
    <col width="11" customWidth="1" min="14" max="14"/>
    <col width="11" customWidth="1" min="15" max="15"/>
    <col width="11" customWidth="1" min="16" max="16"/>
    <col width="11" customWidth="1" min="17" max="17"/>
    <col width="70" customWidth="1" min="18" max="18"/>
  </cols>
  <sheetData>
    <row r="1">
      <c r="A1" s="1" t="inlineStr">
        <is>
          <t>Drivers</t>
        </is>
      </c>
    </row>
    <row r="2">
      <c r="A2" s="2" t="inlineStr">
        <is>
          <t>Capacity -&gt; GPUs -&gt; GPU-hours x utilization x price = AI cloud revenue. Capex, prepayments and working capital are driven off the same MW path. Blue = assumption.</t>
        </is>
      </c>
    </row>
    <row r="3">
      <c r="A3" s="8" t="inlineStr">
        <is>
          <t>Active scenario:</t>
        </is>
      </c>
      <c r="C3" s="6">
        <f>'Scenarios'!$D$4</f>
        <v/>
      </c>
    </row>
    <row r="4"/>
    <row r="5">
      <c r="A5" s="13" t="inlineStr"/>
      <c r="B5" s="18" t="inlineStr">
        <is>
          <t>Unit</t>
        </is>
      </c>
      <c r="C5" s="18" t="inlineStr">
        <is>
          <t>Jun-26A</t>
        </is>
      </c>
      <c r="D5" s="18" t="inlineStr">
        <is>
          <t>Q3'26E</t>
        </is>
      </c>
      <c r="E5" s="18" t="inlineStr">
        <is>
          <t>Q4'26E</t>
        </is>
      </c>
      <c r="F5" s="18" t="inlineStr">
        <is>
          <t>Q1'27E</t>
        </is>
      </c>
      <c r="G5" s="18" t="inlineStr">
        <is>
          <t>Q2'27E</t>
        </is>
      </c>
      <c r="H5" s="18" t="inlineStr">
        <is>
          <t>Q3'27E</t>
        </is>
      </c>
      <c r="I5" s="18" t="inlineStr">
        <is>
          <t>Q4'27E</t>
        </is>
      </c>
      <c r="J5" s="18" t="inlineStr">
        <is>
          <t>FY2028E</t>
        </is>
      </c>
      <c r="K5" s="18" t="inlineStr">
        <is>
          <t>FY2029E</t>
        </is>
      </c>
      <c r="L5" s="18" t="inlineStr">
        <is>
          <t>FY2030E*</t>
        </is>
      </c>
      <c r="M5" s="31" t="inlineStr"/>
      <c r="N5" s="18" t="inlineStr">
        <is>
          <t>FY2026E</t>
        </is>
      </c>
      <c r="O5" s="18" t="inlineStr">
        <is>
          <t>FY2027E</t>
        </is>
      </c>
      <c r="P5" s="18" t="inlineStr">
        <is>
          <t>FY2028E</t>
        </is>
      </c>
      <c r="Q5" s="18" t="inlineStr">
        <is>
          <t>FY2029E</t>
        </is>
      </c>
      <c r="R5" s="13" t="inlineStr">
        <is>
          <t>Basis / note</t>
        </is>
      </c>
    </row>
    <row r="6">
      <c r="A6" s="3" t="inlineStr">
        <is>
          <t>Timing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</row>
    <row r="7">
      <c r="A7" s="5" t="inlineStr">
        <is>
          <t>Period length</t>
        </is>
      </c>
      <c r="B7" s="7" t="inlineStr">
        <is>
          <t>years</t>
        </is>
      </c>
      <c r="D7" s="27" t="n">
        <v>0.25</v>
      </c>
      <c r="E7" s="27" t="n">
        <v>0.25</v>
      </c>
      <c r="F7" s="27" t="n">
        <v>0.25</v>
      </c>
      <c r="G7" s="27" t="n">
        <v>0.25</v>
      </c>
      <c r="H7" s="27" t="n">
        <v>0.25</v>
      </c>
      <c r="I7" s="27" t="n">
        <v>0.25</v>
      </c>
      <c r="J7" s="27" t="n">
        <v>1</v>
      </c>
      <c r="K7" s="27" t="n">
        <v>1</v>
      </c>
      <c r="R7" s="7" t="inlineStr">
        <is>
          <t>Structural.</t>
        </is>
      </c>
    </row>
    <row r="8">
      <c r="A8" s="5" t="inlineStr">
        <is>
          <t>Hours in period</t>
        </is>
      </c>
      <c r="B8" s="7" t="inlineStr">
        <is>
          <t>hrs</t>
        </is>
      </c>
      <c r="D8" s="12">
        <f>8760*D7</f>
        <v/>
      </c>
      <c r="E8" s="12">
        <f>8760*E7</f>
        <v/>
      </c>
      <c r="F8" s="12">
        <f>8760*F7</f>
        <v/>
      </c>
      <c r="G8" s="12">
        <f>8760*G7</f>
        <v/>
      </c>
      <c r="H8" s="12">
        <f>8760*H7</f>
        <v/>
      </c>
      <c r="I8" s="12">
        <f>8760*I7</f>
        <v/>
      </c>
      <c r="J8" s="12">
        <f>8760*J7</f>
        <v/>
      </c>
      <c r="K8" s="12">
        <f>8760*K7</f>
        <v/>
      </c>
      <c r="R8" s="7" t="inlineStr">
        <is>
          <t>8,760 x period length.</t>
        </is>
      </c>
    </row>
    <row r="9">
      <c r="A9" s="5" t="inlineStr">
        <is>
          <t>Days in period</t>
        </is>
      </c>
      <c r="B9" s="7" t="inlineStr">
        <is>
          <t>days</t>
        </is>
      </c>
      <c r="D9" s="29">
        <f>365*D7</f>
        <v/>
      </c>
      <c r="E9" s="29">
        <f>365*E7</f>
        <v/>
      </c>
      <c r="F9" s="29">
        <f>365*F7</f>
        <v/>
      </c>
      <c r="G9" s="29">
        <f>365*G7</f>
        <v/>
      </c>
      <c r="H9" s="29">
        <f>365*H7</f>
        <v/>
      </c>
      <c r="I9" s="29">
        <f>365*I7</f>
        <v/>
      </c>
      <c r="J9" s="29">
        <f>365*J7</f>
        <v/>
      </c>
      <c r="K9" s="29">
        <f>365*K7</f>
        <v/>
      </c>
      <c r="R9" s="7" t="inlineStr">
        <is>
          <t>365 x period length.</t>
        </is>
      </c>
    </row>
    <row r="10">
      <c r="A10" s="3" t="inlineStr">
        <is>
          <t>Capacity &amp; GPU deployment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</row>
    <row r="11">
      <c r="A11" s="5" t="inlineStr">
        <is>
          <t>All-in IT power per GPU</t>
        </is>
      </c>
      <c r="B11" s="7" t="inlineStr">
        <is>
          <t>kW</t>
        </is>
      </c>
      <c r="C11" s="27" t="n">
        <v>1.9</v>
      </c>
      <c r="D11" s="27" t="n">
        <v>1.9</v>
      </c>
      <c r="E11" s="27" t="n">
        <v>1.9</v>
      </c>
      <c r="F11" s="27" t="n">
        <v>1.9</v>
      </c>
      <c r="G11" s="27" t="n">
        <v>1.9</v>
      </c>
      <c r="H11" s="27" t="n">
        <v>1.9</v>
      </c>
      <c r="I11" s="27" t="n">
        <v>1.9</v>
      </c>
      <c r="J11" s="27" t="n">
        <v>1.9</v>
      </c>
      <c r="K11" s="27" t="n">
        <v>1.9</v>
      </c>
      <c r="R11" s="7" t="inlineStr">
        <is>
          <t>ASSUMPTION: GB300 NVL72-class rack ~135-140 kW / 72 GPUs incl. CPU &amp; networking =&gt; ~1.9 kW.</t>
        </is>
      </c>
    </row>
    <row r="12">
      <c r="A12" s="5" t="inlineStr">
        <is>
          <t>GPUs per MW</t>
        </is>
      </c>
      <c r="B12" s="7" t="inlineStr">
        <is>
          <t>GPUs</t>
        </is>
      </c>
      <c r="C12" s="12">
        <f>1000/C11</f>
        <v/>
      </c>
      <c r="D12" s="12">
        <f>1000/D11</f>
        <v/>
      </c>
      <c r="E12" s="12">
        <f>1000/E11</f>
        <v/>
      </c>
      <c r="F12" s="12">
        <f>1000/F11</f>
        <v/>
      </c>
      <c r="G12" s="12">
        <f>1000/G11</f>
        <v/>
      </c>
      <c r="H12" s="12">
        <f>1000/H11</f>
        <v/>
      </c>
      <c r="I12" s="12">
        <f>1000/I11</f>
        <v/>
      </c>
      <c r="J12" s="12">
        <f>1000/J11</f>
        <v/>
      </c>
      <c r="K12" s="12">
        <f>1000/K11</f>
        <v/>
      </c>
      <c r="R12" s="7" t="inlineStr">
        <is>
          <t>1,000 / kW per GPU.</t>
        </is>
      </c>
    </row>
    <row r="13">
      <c r="A13" s="5" t="inlineStr">
        <is>
          <t>Billable utilization - base path</t>
        </is>
      </c>
      <c r="B13" s="7" t="inlineStr">
        <is>
          <t>%</t>
        </is>
      </c>
      <c r="C13" s="22" t="n">
        <v>0.9</v>
      </c>
      <c r="D13" s="22" t="n">
        <v>0.9</v>
      </c>
      <c r="E13" s="22" t="n">
        <v>0.9</v>
      </c>
      <c r="F13" s="22" t="n">
        <v>0.9</v>
      </c>
      <c r="G13" s="22" t="n">
        <v>0.9</v>
      </c>
      <c r="H13" s="22" t="n">
        <v>0.9</v>
      </c>
      <c r="I13" s="22" t="n">
        <v>0.9</v>
      </c>
      <c r="J13" s="22" t="n">
        <v>0.9</v>
      </c>
      <c r="K13" s="22" t="n">
        <v>0.9</v>
      </c>
      <c r="R13" s="7" t="inlineStr">
        <is>
          <t>ASSUMPTION: contracted capacity largely take-or-pay; 'sold out' through 2026 (S4).</t>
        </is>
      </c>
    </row>
    <row r="14">
      <c r="A14" s="5" t="inlineStr">
        <is>
          <t>Billable utilization - active scenario</t>
        </is>
      </c>
      <c r="B14" s="7" t="inlineStr">
        <is>
          <t>%</t>
        </is>
      </c>
      <c r="C14" s="14">
        <f>C13</f>
        <v/>
      </c>
      <c r="D14" s="14">
        <f>MIN(0.98,D13+'Scenarios'!$F$9)</f>
        <v/>
      </c>
      <c r="E14" s="14">
        <f>MIN(0.98,E13+'Scenarios'!$F$9)</f>
        <v/>
      </c>
      <c r="F14" s="14">
        <f>MIN(0.98,F13+'Scenarios'!$F$9)</f>
        <v/>
      </c>
      <c r="G14" s="14">
        <f>MIN(0.98,G13+'Scenarios'!$F$9)</f>
        <v/>
      </c>
      <c r="H14" s="14">
        <f>MIN(0.98,H13+'Scenarios'!$F$9)</f>
        <v/>
      </c>
      <c r="I14" s="14">
        <f>MIN(0.98,I13+'Scenarios'!$F$9)</f>
        <v/>
      </c>
      <c r="J14" s="14">
        <f>MIN(0.98,J13+'Scenarios'!$F$9)</f>
        <v/>
      </c>
      <c r="K14" s="14">
        <f>MIN(0.98,K13+'Scenarios'!$F$9)</f>
        <v/>
      </c>
      <c r="R14" s="7" t="inlineStr">
        <is>
          <t>Base + scenario delta, capped at 98%.</t>
        </is>
      </c>
    </row>
    <row r="15">
      <c r="A15" s="5" t="inlineStr">
        <is>
          <t>Blended realized price per GPU-hour - base path</t>
        </is>
      </c>
      <c r="B15" s="7" t="inlineStr">
        <is>
          <t>$/hr</t>
        </is>
      </c>
      <c r="C15" s="19" t="n">
        <v>4</v>
      </c>
      <c r="D15" s="19" t="n">
        <v>4.1</v>
      </c>
      <c r="E15" s="19" t="n">
        <v>4.25</v>
      </c>
      <c r="F15" s="19" t="n">
        <v>4.2</v>
      </c>
      <c r="G15" s="19" t="n">
        <v>4.2</v>
      </c>
      <c r="H15" s="19" t="n">
        <v>4.15</v>
      </c>
      <c r="I15" s="19" t="n">
        <v>4.15</v>
      </c>
      <c r="J15" s="19" t="n">
        <v>4</v>
      </c>
      <c r="K15" s="19" t="n">
        <v>3.8</v>
      </c>
      <c r="R15" s="7" t="inlineStr">
        <is>
          <t>ASSUMPTION: blended across GPU generations incl. platform/software. Calibrated: Q2-26 AI revenue / implied GPU-hours. New Q2 deals ($20-25M/MW ACV, S2) imply ~$4.8-6.0/hr; older fleet lower.</t>
        </is>
      </c>
    </row>
    <row r="16">
      <c r="A16" s="5" t="inlineStr">
        <is>
          <t>Price per GPU-hour - active scenario</t>
        </is>
      </c>
      <c r="B16" s="7" t="inlineStr">
        <is>
          <t>$/hr</t>
        </is>
      </c>
      <c r="C16" s="10">
        <f>C15</f>
        <v/>
      </c>
      <c r="D16" s="10">
        <f>D15*'Scenarios'!$F$8</f>
        <v/>
      </c>
      <c r="E16" s="10">
        <f>E15*'Scenarios'!$F$8</f>
        <v/>
      </c>
      <c r="F16" s="10">
        <f>F15*'Scenarios'!$F$8</f>
        <v/>
      </c>
      <c r="G16" s="10">
        <f>G15*'Scenarios'!$F$8</f>
        <v/>
      </c>
      <c r="H16" s="10">
        <f>H15*'Scenarios'!$F$8</f>
        <v/>
      </c>
      <c r="I16" s="10">
        <f>I15*'Scenarios'!$F$8</f>
        <v/>
      </c>
      <c r="J16" s="10">
        <f>J15*'Scenarios'!$F$8</f>
        <v/>
      </c>
      <c r="K16" s="10">
        <f>K15*'Scenarios'!$F$8</f>
        <v/>
      </c>
      <c r="R16" s="7" t="inlineStr">
        <is>
          <t>Base path x scenario multiplier.</t>
        </is>
      </c>
    </row>
    <row r="17">
      <c r="A17" s="5" t="inlineStr">
        <is>
          <t>Revenue-generating MW, end of period - base path</t>
        </is>
      </c>
      <c r="B17" s="7" t="inlineStr">
        <is>
          <t>MW</t>
        </is>
      </c>
      <c r="C17" s="12">
        <f>'Inputs &amp; Sources'!$B$12*1000000/(C12*8760*C13*C15)</f>
        <v/>
      </c>
      <c r="D17" s="24" t="n">
        <v>230</v>
      </c>
      <c r="E17" s="24" t="n">
        <v>425</v>
      </c>
      <c r="F17" s="24" t="n">
        <v>560</v>
      </c>
      <c r="G17" s="24" t="n">
        <v>720</v>
      </c>
      <c r="H17" s="24" t="n">
        <v>900</v>
      </c>
      <c r="I17" s="24" t="n">
        <v>1100</v>
      </c>
      <c r="J17" s="24" t="n">
        <v>2000</v>
      </c>
      <c r="K17" s="24" t="n">
        <v>2900</v>
      </c>
      <c r="L17" s="24" t="n">
        <v>3700</v>
      </c>
      <c r="R17" s="7" t="inlineStr">
        <is>
          <t>ASSUMPTION. Jun-26 anchor derived from disclosed ARR. YE26 ~425 MW is consistent with $7-9B ARR target; connected power (800MW-1GW) leads billing by 1-2 quarters. 2027+ ~0.7-0.9 GW/yr adds vs company '&gt;1 GW/yr' build pace. *L = FY2030 lookahead (capex timing only).</t>
        </is>
      </c>
    </row>
    <row r="18">
      <c r="A18" s="5" t="inlineStr">
        <is>
          <t>Revenue-generating MW, end of period - active scenario</t>
        </is>
      </c>
      <c r="B18" s="7" t="inlineStr">
        <is>
          <t>MW</t>
        </is>
      </c>
      <c r="C18" s="12">
        <f>C17</f>
        <v/>
      </c>
      <c r="D18" s="12">
        <f>$C17+(D17-$C17)*'Scenarios'!$F$7</f>
        <v/>
      </c>
      <c r="E18" s="12">
        <f>$C17+(E17-$C17)*'Scenarios'!$F$7</f>
        <v/>
      </c>
      <c r="F18" s="12">
        <f>$C17+(F17-$C17)*'Scenarios'!$F$7</f>
        <v/>
      </c>
      <c r="G18" s="12">
        <f>$C17+(G17-$C17)*'Scenarios'!$F$7</f>
        <v/>
      </c>
      <c r="H18" s="12">
        <f>$C17+(H17-$C17)*'Scenarios'!$F$7</f>
        <v/>
      </c>
      <c r="I18" s="12">
        <f>$C17+(I17-$C17)*'Scenarios'!$F$7</f>
        <v/>
      </c>
      <c r="J18" s="12">
        <f>$C17+(J17-$C17)*'Scenarios'!$F$7</f>
        <v/>
      </c>
      <c r="K18" s="12">
        <f>$C17+(K17-$C17)*'Scenarios'!$F$7</f>
        <v/>
      </c>
      <c r="L18" s="12">
        <f>$C17+(L17-$C17)*'Scenarios'!$F$7</f>
        <v/>
      </c>
      <c r="N18" s="12">
        <f>E18</f>
        <v/>
      </c>
      <c r="O18" s="12">
        <f>I18</f>
        <v/>
      </c>
      <c r="P18" s="12">
        <f>J18</f>
        <v/>
      </c>
      <c r="Q18" s="12">
        <f>K18</f>
        <v/>
      </c>
      <c r="R18" s="7" t="inlineStr">
        <is>
          <t>Jun-26 anchor + (base adds x build-out factor).</t>
        </is>
      </c>
    </row>
    <row r="19">
      <c r="A19" s="5" t="inlineStr">
        <is>
          <t>Average revenue-generating MW in period</t>
        </is>
      </c>
      <c r="B19" s="7" t="inlineStr">
        <is>
          <t>MW</t>
        </is>
      </c>
      <c r="D19" s="12">
        <f>(C18+D18)/2</f>
        <v/>
      </c>
      <c r="E19" s="12">
        <f>(D18+E18)/2</f>
        <v/>
      </c>
      <c r="F19" s="12">
        <f>(E18+F18)/2</f>
        <v/>
      </c>
      <c r="G19" s="12">
        <f>(F18+G18)/2</f>
        <v/>
      </c>
      <c r="H19" s="12">
        <f>(G18+H18)/2</f>
        <v/>
      </c>
      <c r="I19" s="12">
        <f>(H18+I18)/2</f>
        <v/>
      </c>
      <c r="J19" s="12">
        <f>(I18+J18)/2</f>
        <v/>
      </c>
      <c r="K19" s="12">
        <f>(J18+K18)/2</f>
        <v/>
      </c>
      <c r="R19" s="7" t="inlineStr">
        <is>
          <t>(Opening + closing) / 2.</t>
        </is>
      </c>
    </row>
    <row r="20">
      <c r="A20" s="5" t="inlineStr">
        <is>
          <t>GPUs deployed, end of period</t>
        </is>
      </c>
      <c r="B20" s="7" t="inlineStr">
        <is>
          <t>000s</t>
        </is>
      </c>
      <c r="C20" s="29">
        <f>C18*C12/1000</f>
        <v/>
      </c>
      <c r="D20" s="29">
        <f>D18*D12/1000</f>
        <v/>
      </c>
      <c r="E20" s="29">
        <f>E18*E12/1000</f>
        <v/>
      </c>
      <c r="F20" s="29">
        <f>F18*F12/1000</f>
        <v/>
      </c>
      <c r="G20" s="29">
        <f>G18*G12/1000</f>
        <v/>
      </c>
      <c r="H20" s="29">
        <f>H18*H12/1000</f>
        <v/>
      </c>
      <c r="I20" s="29">
        <f>I18*I12/1000</f>
        <v/>
      </c>
      <c r="J20" s="29">
        <f>J18*J12/1000</f>
        <v/>
      </c>
      <c r="K20" s="29">
        <f>K18*K12/1000</f>
        <v/>
      </c>
      <c r="N20" s="29">
        <f>E20</f>
        <v/>
      </c>
      <c r="O20" s="29">
        <f>I20</f>
        <v/>
      </c>
      <c r="P20" s="29">
        <f>J20</f>
        <v/>
      </c>
      <c r="Q20" s="29">
        <f>K20</f>
        <v/>
      </c>
      <c r="R20" s="7" t="inlineStr">
        <is>
          <t>MW x GPUs per MW.</t>
        </is>
      </c>
    </row>
    <row r="21">
      <c r="A21" s="5" t="inlineStr">
        <is>
          <t>Average GPUs deployed in period</t>
        </is>
      </c>
      <c r="B21" s="7" t="inlineStr">
        <is>
          <t>000s</t>
        </is>
      </c>
      <c r="D21" s="29">
        <f>D19*D12/1000</f>
        <v/>
      </c>
      <c r="E21" s="29">
        <f>E19*E12/1000</f>
        <v/>
      </c>
      <c r="F21" s="29">
        <f>F19*F12/1000</f>
        <v/>
      </c>
      <c r="G21" s="29">
        <f>G19*G12/1000</f>
        <v/>
      </c>
      <c r="H21" s="29">
        <f>H19*H12/1000</f>
        <v/>
      </c>
      <c r="I21" s="29">
        <f>I19*I12/1000</f>
        <v/>
      </c>
      <c r="J21" s="29">
        <f>J19*J12/1000</f>
        <v/>
      </c>
      <c r="K21" s="29">
        <f>K19*K12/1000</f>
        <v/>
      </c>
      <c r="R21" s="7" t="inlineStr"/>
    </row>
    <row r="22">
      <c r="A22" s="5" t="inlineStr">
        <is>
          <t>Billable GPU-hours</t>
        </is>
      </c>
      <c r="B22" s="7" t="inlineStr">
        <is>
          <t>M hrs</t>
        </is>
      </c>
      <c r="D22" s="29">
        <f>D21*1000*D8*D14/1000000</f>
        <v/>
      </c>
      <c r="E22" s="29">
        <f>E21*1000*E8*E14/1000000</f>
        <v/>
      </c>
      <c r="F22" s="29">
        <f>F21*1000*F8*F14/1000000</f>
        <v/>
      </c>
      <c r="G22" s="29">
        <f>G21*1000*G8*G14/1000000</f>
        <v/>
      </c>
      <c r="H22" s="29">
        <f>H21*1000*H8*H14/1000000</f>
        <v/>
      </c>
      <c r="I22" s="29">
        <f>I21*1000*I8*I14/1000000</f>
        <v/>
      </c>
      <c r="J22" s="29">
        <f>J21*1000*J8*J14/1000000</f>
        <v/>
      </c>
      <c r="K22" s="29">
        <f>K21*1000*K8*K14/1000000</f>
        <v/>
      </c>
      <c r="N22" s="29">
        <f>D22+E22</f>
        <v/>
      </c>
      <c r="O22" s="29">
        <f>SUM(F22:I22)</f>
        <v/>
      </c>
      <c r="P22" s="29">
        <f>J22</f>
        <v/>
      </c>
      <c r="Q22" s="29">
        <f>K22</f>
        <v/>
      </c>
      <c r="R22" s="7" t="inlineStr">
        <is>
          <t>Avg GPUs x hours x utilization. FY2026E summary = H2 only (H1 GPU-hours not disclosed).</t>
        </is>
      </c>
    </row>
    <row r="23">
      <c r="A23" s="3" t="inlineStr">
        <is>
          <t>Revenue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</row>
    <row r="24">
      <c r="A24" s="5" t="inlineStr">
        <is>
          <t>AI cloud revenue</t>
        </is>
      </c>
      <c r="B24" s="7" t="inlineStr">
        <is>
          <t>$M</t>
        </is>
      </c>
      <c r="D24" s="29">
        <f>D22*D16</f>
        <v/>
      </c>
      <c r="E24" s="29">
        <f>E22*E16</f>
        <v/>
      </c>
      <c r="F24" s="29">
        <f>F22*F16</f>
        <v/>
      </c>
      <c r="G24" s="29">
        <f>G22*G16</f>
        <v/>
      </c>
      <c r="H24" s="29">
        <f>H22*H16</f>
        <v/>
      </c>
      <c r="I24" s="29">
        <f>I22*I16</f>
        <v/>
      </c>
      <c r="J24" s="29">
        <f>J22*J16</f>
        <v/>
      </c>
      <c r="K24" s="29">
        <f>K22*K16</f>
        <v/>
      </c>
      <c r="R24" s="7" t="inlineStr">
        <is>
          <t>GPU-hours x price.</t>
        </is>
      </c>
    </row>
    <row r="25">
      <c r="A25" s="5" t="inlineStr">
        <is>
          <t>Other revenue (Avride, Tavily, other)</t>
        </is>
      </c>
      <c r="B25" s="7" t="inlineStr">
        <is>
          <t>$M</t>
        </is>
      </c>
      <c r="D25" s="20" t="n">
        <v>9</v>
      </c>
      <c r="E25" s="20" t="n">
        <v>10</v>
      </c>
      <c r="F25" s="20" t="n">
        <v>11</v>
      </c>
      <c r="G25" s="20" t="n">
        <v>12</v>
      </c>
      <c r="H25" s="20" t="n">
        <v>13</v>
      </c>
      <c r="I25" s="20" t="n">
        <v>14</v>
      </c>
      <c r="J25" s="20" t="n">
        <v>70</v>
      </c>
      <c r="K25" s="20" t="n">
        <v>90</v>
      </c>
      <c r="R25" s="7" t="inlineStr">
        <is>
          <t>ASSUMPTION: Q2-26 group less AI cloud = $7.4M; grows modestly.</t>
        </is>
      </c>
    </row>
    <row r="26">
      <c r="A26" s="5" t="inlineStr">
        <is>
          <t>Total revenue</t>
        </is>
      </c>
      <c r="B26" s="7" t="inlineStr">
        <is>
          <t>$M</t>
        </is>
      </c>
      <c r="D26" s="28">
        <f>D24+D25</f>
        <v/>
      </c>
      <c r="E26" s="28">
        <f>E24+E25</f>
        <v/>
      </c>
      <c r="F26" s="28">
        <f>F24+F25</f>
        <v/>
      </c>
      <c r="G26" s="28">
        <f>G24+G25</f>
        <v/>
      </c>
      <c r="H26" s="28">
        <f>H24+H25</f>
        <v/>
      </c>
      <c r="I26" s="28">
        <f>I24+I25</f>
        <v/>
      </c>
      <c r="J26" s="28">
        <f>J24+J25</f>
        <v/>
      </c>
      <c r="K26" s="28">
        <f>K24+K25</f>
        <v/>
      </c>
      <c r="N26" s="29">
        <f>'Inputs &amp; Sources'!$F$56+'Inputs &amp; Sources'!$G$56+D26+E26</f>
        <v/>
      </c>
      <c r="O26" s="29">
        <f>SUM(F26:I26)</f>
        <v/>
      </c>
      <c r="P26" s="29">
        <f>J26</f>
        <v/>
      </c>
      <c r="Q26" s="29">
        <f>K26</f>
        <v/>
      </c>
      <c r="R26" s="7" t="inlineStr"/>
    </row>
    <row r="27">
      <c r="A27" s="5" t="inlineStr">
        <is>
          <t>AI revenue per average MW (annualized)</t>
        </is>
      </c>
      <c r="B27" s="7" t="inlineStr">
        <is>
          <t>$M/MW</t>
        </is>
      </c>
      <c r="D27" s="29">
        <f>D24/D19/D7</f>
        <v/>
      </c>
      <c r="E27" s="29">
        <f>E24/E19/E7</f>
        <v/>
      </c>
      <c r="F27" s="29">
        <f>F24/F19/F7</f>
        <v/>
      </c>
      <c r="G27" s="29">
        <f>G24/G19/G7</f>
        <v/>
      </c>
      <c r="H27" s="29">
        <f>H24/H19/H7</f>
        <v/>
      </c>
      <c r="I27" s="29">
        <f>I24/I19/I7</f>
        <v/>
      </c>
      <c r="J27" s="29">
        <f>J24/J19/J7</f>
        <v/>
      </c>
      <c r="K27" s="29">
        <f>K24/K19/K7</f>
        <v/>
      </c>
      <c r="R27" s="7" t="inlineStr">
        <is>
          <t>Cross-check vs disclosed new-deal ACV of $20-25M/MW (S2); blended fleet runs lower.</t>
        </is>
      </c>
    </row>
    <row r="28">
      <c r="A28" s="5" t="inlineStr">
        <is>
          <t>Exit ARR (end-of-period run-rate)</t>
        </is>
      </c>
      <c r="B28" s="7" t="inlineStr">
        <is>
          <t>$M</t>
        </is>
      </c>
      <c r="C28" s="29">
        <f>C18*C12*8760*C13*C16/1000000</f>
        <v/>
      </c>
      <c r="D28" s="29">
        <f>D18*D12*8760*D14*D16/1000000</f>
        <v/>
      </c>
      <c r="E28" s="29">
        <f>E18*E12*8760*E14*E16/1000000</f>
        <v/>
      </c>
      <c r="F28" s="29">
        <f>F18*F12*8760*F14*F16/1000000</f>
        <v/>
      </c>
      <c r="G28" s="29">
        <f>G18*G12*8760*G14*G16/1000000</f>
        <v/>
      </c>
      <c r="H28" s="29">
        <f>H18*H12*8760*H14*H16/1000000</f>
        <v/>
      </c>
      <c r="I28" s="29">
        <f>I18*I12*8760*I14*I16/1000000</f>
        <v/>
      </c>
      <c r="J28" s="29">
        <f>J18*J12*8760*J14*J16/1000000</f>
        <v/>
      </c>
      <c r="K28" s="29">
        <f>K18*K12*8760*K14*K16/1000000</f>
        <v/>
      </c>
      <c r="N28" s="29">
        <f>E28</f>
        <v/>
      </c>
      <c r="O28" s="29">
        <f>I28</f>
        <v/>
      </c>
      <c r="P28" s="29">
        <f>J28</f>
        <v/>
      </c>
      <c r="Q28" s="29">
        <f>K28</f>
        <v/>
      </c>
      <c r="R28" s="7" t="inlineStr">
        <is>
          <t>End MW x GPUs/MW x 8,760 x util x price. Jun-26 = disclosed $3.0B by construction.</t>
        </is>
      </c>
    </row>
    <row r="29">
      <c r="A29" s="3" t="inlineStr">
        <is>
          <t>Operating costs (% of revenue, cash, ex-D&amp;A)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</row>
    <row r="30">
      <c r="A30" s="5" t="inlineStr">
        <is>
          <t>Cost of revenues - base</t>
        </is>
      </c>
      <c r="B30" s="7" t="inlineStr">
        <is>
          <t>%</t>
        </is>
      </c>
      <c r="D30" s="22" t="n">
        <v>0.24</v>
      </c>
      <c r="E30" s="22" t="n">
        <v>0.25</v>
      </c>
      <c r="F30" s="22" t="n">
        <v>0.26</v>
      </c>
      <c r="G30" s="22" t="n">
        <v>0.26</v>
      </c>
      <c r="H30" s="22" t="n">
        <v>0.26</v>
      </c>
      <c r="I30" s="22" t="n">
        <v>0.26</v>
      </c>
      <c r="J30" s="22" t="n">
        <v>0.27</v>
      </c>
      <c r="K30" s="22" t="n">
        <v>0.28</v>
      </c>
      <c r="R30" s="7" t="inlineStr">
        <is>
          <t>Q2-26 actual 23%. Rises with power/colocation and partner-hosted (asset-light) capacity. ASSUMPTION.</t>
        </is>
      </c>
    </row>
    <row r="31">
      <c r="A31" s="5" t="inlineStr">
        <is>
          <t>Cost of revenues - active scenario</t>
        </is>
      </c>
      <c r="B31" s="7" t="inlineStr">
        <is>
          <t>%</t>
        </is>
      </c>
      <c r="D31" s="14">
        <f>D30+'Scenarios'!$F$10</f>
        <v/>
      </c>
      <c r="E31" s="14">
        <f>E30+'Scenarios'!$F$10</f>
        <v/>
      </c>
      <c r="F31" s="14">
        <f>F30+'Scenarios'!$F$10</f>
        <v/>
      </c>
      <c r="G31" s="14">
        <f>G30+'Scenarios'!$F$10</f>
        <v/>
      </c>
      <c r="H31" s="14">
        <f>H30+'Scenarios'!$F$10</f>
        <v/>
      </c>
      <c r="I31" s="14">
        <f>I30+'Scenarios'!$F$10</f>
        <v/>
      </c>
      <c r="J31" s="14">
        <f>J30+'Scenarios'!$F$10</f>
        <v/>
      </c>
      <c r="K31" s="14">
        <f>K30+'Scenarios'!$F$10</f>
        <v/>
      </c>
      <c r="R31" s="7" t="inlineStr"/>
    </row>
    <row r="32">
      <c r="A32" s="5" t="inlineStr">
        <is>
          <t>R&amp;D + SG&amp;A (cash, ex-SBC)</t>
        </is>
      </c>
      <c r="B32" s="7" t="inlineStr">
        <is>
          <t>%</t>
        </is>
      </c>
      <c r="D32" s="22" t="n">
        <v>0.4</v>
      </c>
      <c r="E32" s="22" t="n">
        <v>0.31</v>
      </c>
      <c r="F32" s="22" t="n">
        <v>0.25</v>
      </c>
      <c r="G32" s="22" t="n">
        <v>0.22</v>
      </c>
      <c r="H32" s="22" t="n">
        <v>0.2</v>
      </c>
      <c r="I32" s="22" t="n">
        <v>0.18</v>
      </c>
      <c r="J32" s="22" t="n">
        <v>0.13</v>
      </c>
      <c r="K32" s="22" t="n">
        <v>0.11</v>
      </c>
      <c r="R32" s="7" t="inlineStr">
        <is>
          <t>Q2-26 ~36% (ex SBC &amp; one-offs), Q1-26 ~42%. Operating leverage as revenue scales. Calibrated so FY26E margin ~40% guide. ASSUMPTION.</t>
        </is>
      </c>
    </row>
    <row r="33">
      <c r="A33" s="5" t="inlineStr">
        <is>
          <t>Share-based compensation</t>
        </is>
      </c>
      <c r="B33" s="7" t="inlineStr">
        <is>
          <t>%</t>
        </is>
      </c>
      <c r="D33" s="22" t="n">
        <v>0.06</v>
      </c>
      <c r="E33" s="22" t="n">
        <v>0.06</v>
      </c>
      <c r="F33" s="22" t="n">
        <v>0.05</v>
      </c>
      <c r="G33" s="22" t="n">
        <v>0.05</v>
      </c>
      <c r="H33" s="22" t="n">
        <v>0.05</v>
      </c>
      <c r="I33" s="22" t="n">
        <v>0.05</v>
      </c>
      <c r="J33" s="22" t="n">
        <v>0.04</v>
      </c>
      <c r="K33" s="22" t="n">
        <v>0.035</v>
      </c>
      <c r="R33" s="7" t="inlineStr">
        <is>
          <t>Q1-26 8.8% of revenue; declines with scale. ASSUMPTION.</t>
        </is>
      </c>
    </row>
    <row r="34">
      <c r="A34" s="5" t="inlineStr">
        <is>
          <t>Implied adj. EBITDA margin</t>
        </is>
      </c>
      <c r="B34" s="7" t="inlineStr">
        <is>
          <t>%</t>
        </is>
      </c>
      <c r="D34" s="14">
        <f>1-D31-D32</f>
        <v/>
      </c>
      <c r="E34" s="14">
        <f>1-E31-E32</f>
        <v/>
      </c>
      <c r="F34" s="14">
        <f>1-F31-F32</f>
        <v/>
      </c>
      <c r="G34" s="14">
        <f>1-G31-G32</f>
        <v/>
      </c>
      <c r="H34" s="14">
        <f>1-H31-H32</f>
        <v/>
      </c>
      <c r="I34" s="14">
        <f>1-I31-I32</f>
        <v/>
      </c>
      <c r="J34" s="14">
        <f>1-J31-J32</f>
        <v/>
      </c>
      <c r="K34" s="14">
        <f>1-K31-K32</f>
        <v/>
      </c>
      <c r="R34" s="7" t="inlineStr">
        <is>
          <t>Peer check: CoreWeave Q2-26 59%; Nebius AI cloud segment Q2-26 ~50%.</t>
        </is>
      </c>
    </row>
    <row r="35">
      <c r="A35" s="3" t="inlineStr">
        <is>
          <t>Capex &amp; depreciation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</row>
    <row r="36">
      <c r="A36" s="5" t="inlineStr">
        <is>
          <t>Compute (GPU/servers/network) capex per MW</t>
        </is>
      </c>
      <c r="B36" s="7" t="inlineStr">
        <is>
          <t>$M/MW</t>
        </is>
      </c>
      <c r="D36" s="20" t="n">
        <v>32</v>
      </c>
      <c r="E36" s="20" t="n">
        <v>32</v>
      </c>
      <c r="F36" s="20" t="n">
        <v>32</v>
      </c>
      <c r="G36" s="20" t="n">
        <v>32</v>
      </c>
      <c r="H36" s="20" t="n">
        <v>32</v>
      </c>
      <c r="I36" s="20" t="n">
        <v>32</v>
      </c>
      <c r="J36" s="20" t="n">
        <v>32</v>
      </c>
      <c r="K36" s="20" t="n">
        <v>32</v>
      </c>
      <c r="R36" s="7" t="inlineStr">
        <is>
          <t>ASSUMPTION: ~$30-35M/MW for Blackwell-Ultra-class systems.</t>
        </is>
      </c>
    </row>
    <row r="37">
      <c r="A37" s="5" t="inlineStr">
        <is>
          <t>Data center &amp; power capex per MW (self-built)</t>
        </is>
      </c>
      <c r="B37" s="7" t="inlineStr">
        <is>
          <t>$M/MW</t>
        </is>
      </c>
      <c r="D37" s="20" t="n">
        <v>12</v>
      </c>
      <c r="E37" s="20" t="n">
        <v>12</v>
      </c>
      <c r="F37" s="20" t="n">
        <v>12</v>
      </c>
      <c r="G37" s="20" t="n">
        <v>12</v>
      </c>
      <c r="H37" s="20" t="n">
        <v>12</v>
      </c>
      <c r="I37" s="20" t="n">
        <v>12</v>
      </c>
      <c r="J37" s="20" t="n">
        <v>12</v>
      </c>
      <c r="K37" s="20" t="n">
        <v>12</v>
      </c>
      <c r="R37" s="7" t="inlineStr">
        <is>
          <t>ASSUMPTION: ~$10-14M/MW shell, power &amp; cooling.</t>
        </is>
      </c>
    </row>
    <row r="38">
      <c r="A38" s="5" t="inlineStr">
        <is>
          <t>Share of new MW in partner/leased sites (asset-light)</t>
        </is>
      </c>
      <c r="B38" s="7" t="inlineStr">
        <is>
          <t>%</t>
        </is>
      </c>
      <c r="D38" s="22" t="n">
        <v>0.25</v>
      </c>
      <c r="E38" s="22" t="n">
        <v>0.25</v>
      </c>
      <c r="F38" s="22" t="n">
        <v>0.25</v>
      </c>
      <c r="G38" s="22" t="n">
        <v>0.25</v>
      </c>
      <c r="H38" s="22" t="n">
        <v>0.25</v>
      </c>
      <c r="I38" s="22" t="n">
        <v>0.25</v>
      </c>
      <c r="J38" s="22" t="n">
        <v>0.25</v>
      </c>
      <c r="K38" s="22" t="n">
        <v>0.25</v>
      </c>
      <c r="R38" s="7" t="inlineStr">
        <is>
          <t>ASSUMPTION. Asset-light partnership model introduced Q2-26 (S2); DC cost then flows through cost of revenue.</t>
        </is>
      </c>
    </row>
    <row r="39">
      <c r="A39" s="5" t="inlineStr">
        <is>
          <t>All-in capex per MW (active scenario)</t>
        </is>
      </c>
      <c r="B39" s="7" t="inlineStr">
        <is>
          <t>$M/MW</t>
        </is>
      </c>
      <c r="D39" s="29">
        <f>(D36+D37*(1-D38))*'Scenarios'!$F$11</f>
        <v/>
      </c>
      <c r="E39" s="29">
        <f>(E36+E37*(1-E38))*'Scenarios'!$F$11</f>
        <v/>
      </c>
      <c r="F39" s="29">
        <f>(F36+F37*(1-F38))*'Scenarios'!$F$11</f>
        <v/>
      </c>
      <c r="G39" s="29">
        <f>(G36+G37*(1-G38))*'Scenarios'!$F$11</f>
        <v/>
      </c>
      <c r="H39" s="29">
        <f>(H36+H37*(1-H38))*'Scenarios'!$F$11</f>
        <v/>
      </c>
      <c r="I39" s="29">
        <f>(I36+I37*(1-I38))*'Scenarios'!$F$11</f>
        <v/>
      </c>
      <c r="J39" s="29">
        <f>(J36+J37*(1-J38))*'Scenarios'!$F$11</f>
        <v/>
      </c>
      <c r="K39" s="29">
        <f>(K36+K37*(1-K38))*'Scenarios'!$F$11</f>
        <v/>
      </c>
      <c r="R39" s="7" t="inlineStr">
        <is>
          <t>(Compute + DC x (1 - partner share)) x scenario multiplier.</t>
        </is>
      </c>
    </row>
    <row r="40">
      <c r="A40" s="5" t="inlineStr">
        <is>
          <t>Capex lookahead: MW at end of funding window</t>
        </is>
      </c>
      <c r="B40" s="7" t="inlineStr">
        <is>
          <t>MW</t>
        </is>
      </c>
      <c r="D40" s="12">
        <f>F18</f>
        <v/>
      </c>
      <c r="E40" s="12">
        <f>G18</f>
        <v/>
      </c>
      <c r="F40" s="12">
        <f>H18</f>
        <v/>
      </c>
      <c r="G40" s="12">
        <f>I18</f>
        <v/>
      </c>
      <c r="H40" s="12">
        <f>I18+(J18-I18)*1/4</f>
        <v/>
      </c>
      <c r="I40" s="12">
        <f>I18+(J18-I18)*2/4</f>
        <v/>
      </c>
      <c r="J40" s="12">
        <f>K18</f>
        <v/>
      </c>
      <c r="K40" s="12">
        <f>L18</f>
        <v/>
      </c>
      <c r="R40" s="7" t="inlineStr">
        <is>
          <t>Quarters: MW two quarters ahead (Mar/Jun-28 interpolated). Annual: MW at end of following year.</t>
        </is>
      </c>
    </row>
    <row r="41">
      <c r="A41" s="5" t="inlineStr">
        <is>
          <t>Capex lookahead: MW at start of funding window</t>
        </is>
      </c>
      <c r="B41" s="7" t="inlineStr">
        <is>
          <t>MW</t>
        </is>
      </c>
      <c r="D41" s="12">
        <f>D18</f>
        <v/>
      </c>
      <c r="E41" s="12">
        <f>E18</f>
        <v/>
      </c>
      <c r="F41" s="12">
        <f>F18</f>
        <v/>
      </c>
      <c r="G41" s="12">
        <f>G18</f>
        <v/>
      </c>
      <c r="H41" s="12">
        <f>H18</f>
        <v/>
      </c>
      <c r="I41" s="12">
        <f>I18</f>
        <v/>
      </c>
      <c r="J41" s="12">
        <f>I18</f>
        <v/>
      </c>
      <c r="K41" s="12">
        <f>J18</f>
        <v/>
      </c>
      <c r="R41" s="7" t="inlineStr">
        <is>
          <t>Quarters: own period-end MW. Annual: prior year-end MW.</t>
        </is>
      </c>
    </row>
    <row r="42">
      <c r="A42" s="5" t="inlineStr">
        <is>
          <t>MW funded in period</t>
        </is>
      </c>
      <c r="B42" s="7" t="inlineStr">
        <is>
          <t>MW</t>
        </is>
      </c>
      <c r="D42" s="29">
        <f>(D40-D41)/2</f>
        <v/>
      </c>
      <c r="E42" s="29">
        <f>(E40-E41)/2</f>
        <v/>
      </c>
      <c r="F42" s="29">
        <f>(F40-F41)/2</f>
        <v/>
      </c>
      <c r="G42" s="29">
        <f>(G40-G41)/2</f>
        <v/>
      </c>
      <c r="H42" s="29">
        <f>(H40-H41)/2</f>
        <v/>
      </c>
      <c r="I42" s="29">
        <f>(I40-I41)/2</f>
        <v/>
      </c>
      <c r="J42" s="29">
        <f>(J40-J41)/2</f>
        <v/>
      </c>
      <c r="K42" s="29">
        <f>(K40-K41)/2</f>
        <v/>
      </c>
      <c r="R42" s="7" t="inlineStr">
        <is>
          <t>(End - start) / 2: capex leads billing by ~6 months on average (GPUs paid on delivery; Q2-26 capex $5.7B vs ~67 MW billing adds).</t>
        </is>
      </c>
    </row>
    <row r="43">
      <c r="A43" s="5" t="inlineStr">
        <is>
          <t>Capex</t>
        </is>
      </c>
      <c r="B43" s="7" t="inlineStr">
        <is>
          <t>$M</t>
        </is>
      </c>
      <c r="D43" s="28">
        <f>D42*D39</f>
        <v/>
      </c>
      <c r="E43" s="28">
        <f>E42*E39</f>
        <v/>
      </c>
      <c r="F43" s="28">
        <f>F42*F39</f>
        <v/>
      </c>
      <c r="G43" s="28">
        <f>G42*G39</f>
        <v/>
      </c>
      <c r="H43" s="28">
        <f>H42*H39</f>
        <v/>
      </c>
      <c r="I43" s="28">
        <f>I42*I39</f>
        <v/>
      </c>
      <c r="J43" s="28">
        <f>J42*J39</f>
        <v/>
      </c>
      <c r="K43" s="28">
        <f>K42*K39</f>
        <v/>
      </c>
      <c r="N43" s="29">
        <f>'Inputs &amp; Sources'!$F$70+'Inputs &amp; Sources'!$G$70+D43+E43</f>
        <v/>
      </c>
      <c r="O43" s="29">
        <f>SUM(F43:I43)</f>
        <v/>
      </c>
      <c r="P43" s="29">
        <f>J43</f>
        <v/>
      </c>
      <c r="Q43" s="29">
        <f>K43</f>
        <v/>
      </c>
      <c r="R43" s="7" t="inlineStr">
        <is>
          <t>MW funded x all-in capex per MW.</t>
        </is>
      </c>
    </row>
    <row r="44">
      <c r="A44" s="5" t="inlineStr">
        <is>
          <t>Depreciation rate (annual, on opening net PP&amp;E + 50% of capex)</t>
        </is>
      </c>
      <c r="B44" s="7" t="inlineStr">
        <is>
          <t>%</t>
        </is>
      </c>
      <c r="D44" s="22" t="n">
        <v>0.11</v>
      </c>
      <c r="E44" s="22" t="n">
        <v>0.12</v>
      </c>
      <c r="F44" s="22" t="n">
        <v>0.13</v>
      </c>
      <c r="G44" s="22" t="n">
        <v>0.135</v>
      </c>
      <c r="H44" s="22" t="n">
        <v>0.14</v>
      </c>
      <c r="I44" s="22" t="n">
        <v>0.145</v>
      </c>
      <c r="J44" s="22" t="n">
        <v>0.155</v>
      </c>
      <c r="K44" s="22" t="n">
        <v>0.165</v>
      </c>
      <c r="R44" s="7" t="inlineStr">
        <is>
          <t>Calibrated: Q2-26 D&amp;A $259.7M / (opening PP&amp;E $7.1B + 50% x $5.7B capex) = 10.4% annualized. Rises as construction-in-progress enters service; 5-yr server life.</t>
        </is>
      </c>
    </row>
    <row r="45">
      <c r="A45" s="3" t="inlineStr">
        <is>
          <t>Prepayments &amp; working capital</t>
        </is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</row>
    <row r="46">
      <c r="A46" s="5" t="inlineStr">
        <is>
          <t>Customer prepayments received, % of capex</t>
        </is>
      </c>
      <c r="B46" s="7" t="inlineStr">
        <is>
          <t>%</t>
        </is>
      </c>
      <c r="D46" s="14">
        <f>'Scenarios'!$F$12</f>
        <v/>
      </c>
      <c r="E46" s="14">
        <f>'Scenarios'!$F$12</f>
        <v/>
      </c>
      <c r="F46" s="14">
        <f>'Scenarios'!$F$12</f>
        <v/>
      </c>
      <c r="G46" s="14">
        <f>'Scenarios'!$F$12</f>
        <v/>
      </c>
      <c r="H46" s="14">
        <f>'Scenarios'!$F$12</f>
        <v/>
      </c>
      <c r="I46" s="14">
        <f>'Scenarios'!$F$12</f>
        <v/>
      </c>
      <c r="J46" s="14">
        <f>'Scenarios'!$F$12</f>
        <v/>
      </c>
      <c r="K46" s="14">
        <f>'Scenarios'!$F$12</f>
        <v/>
      </c>
      <c r="R46" s="7" t="inlineStr">
        <is>
          <t>Active scenario (Scenarios sheet).</t>
        </is>
      </c>
    </row>
    <row r="47">
      <c r="A47" s="5" t="inlineStr">
        <is>
          <t>Deferred revenue recognized, % of opening balance (annual)</t>
        </is>
      </c>
      <c r="B47" s="7" t="inlineStr">
        <is>
          <t>%</t>
        </is>
      </c>
      <c r="D47" s="22" t="n">
        <v>0.25</v>
      </c>
      <c r="E47" s="22" t="n">
        <v>0.25</v>
      </c>
      <c r="F47" s="22" t="n">
        <v>0.25</v>
      </c>
      <c r="G47" s="22" t="n">
        <v>0.25</v>
      </c>
      <c r="H47" s="22" t="n">
        <v>0.25</v>
      </c>
      <c r="I47" s="22" t="n">
        <v>0.25</v>
      </c>
      <c r="J47" s="22" t="n">
        <v>0.25</v>
      </c>
      <c r="K47" s="22" t="n">
        <v>0.25</v>
      </c>
      <c r="R47" s="7" t="inlineStr">
        <is>
          <t>ASSUMPTION: prepayments applied over ~4 yrs of a 5-yr contract.</t>
        </is>
      </c>
    </row>
    <row r="48">
      <c r="A48" s="5" t="inlineStr">
        <is>
          <t>DSO on billed revenue (revenue less prepaid revenue recognized)</t>
        </is>
      </c>
      <c r="B48" s="7" t="inlineStr">
        <is>
          <t>days</t>
        </is>
      </c>
      <c r="D48" s="20" t="n">
        <v>35</v>
      </c>
      <c r="E48" s="20" t="n">
        <v>35</v>
      </c>
      <c r="F48" s="20" t="n">
        <v>35</v>
      </c>
      <c r="G48" s="20" t="n">
        <v>35</v>
      </c>
      <c r="H48" s="20" t="n">
        <v>35</v>
      </c>
      <c r="I48" s="20" t="n">
        <v>35</v>
      </c>
      <c r="J48" s="20" t="n">
        <v>35</v>
      </c>
      <c r="K48" s="20" t="n">
        <v>35</v>
      </c>
      <c r="R48" s="7" t="inlineStr">
        <is>
          <t>Jun-26: AR $288.6M on Q2 revenue = ~45 days; Mar-26 higher. ASSUMPTION.</t>
        </is>
      </c>
    </row>
    <row r="49">
      <c r="A49" s="5" t="inlineStr">
        <is>
          <t>AP &amp; accrued days on (cash costs + capex)</t>
        </is>
      </c>
      <c r="B49" s="7" t="inlineStr">
        <is>
          <t>days</t>
        </is>
      </c>
      <c r="D49" s="20" t="n">
        <v>20</v>
      </c>
      <c r="E49" s="20" t="n">
        <v>20</v>
      </c>
      <c r="F49" s="20" t="n">
        <v>20</v>
      </c>
      <c r="G49" s="20" t="n">
        <v>20</v>
      </c>
      <c r="H49" s="20" t="n">
        <v>20</v>
      </c>
      <c r="I49" s="20" t="n">
        <v>20</v>
      </c>
      <c r="J49" s="20" t="n">
        <v>20</v>
      </c>
      <c r="K49" s="20" t="n">
        <v>20</v>
      </c>
      <c r="R49" s="7" t="inlineStr">
        <is>
          <t>Jun-26: $1,360M / (Q2 cash costs + capex) x 91 = ~21 days.</t>
        </is>
      </c>
    </row>
    <row r="50">
      <c r="A50" s="3" t="inlineStr">
        <is>
          <t>Financing &amp; other</t>
        </is>
      </c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</row>
    <row r="51">
      <c r="A51" s="5" t="inlineStr">
        <is>
          <t>Effective interest rate on debt (GAAP, incl. accretion)</t>
        </is>
      </c>
      <c r="B51" s="7" t="inlineStr">
        <is>
          <t>%</t>
        </is>
      </c>
      <c r="D51" s="22" t="n">
        <v>0.056</v>
      </c>
      <c r="E51" s="22" t="n">
        <v>0.056</v>
      </c>
      <c r="F51" s="22" t="n">
        <v>0.056</v>
      </c>
      <c r="G51" s="22" t="n">
        <v>0.056</v>
      </c>
      <c r="H51" s="22" t="n">
        <v>0.056</v>
      </c>
      <c r="I51" s="22" t="n">
        <v>0.056</v>
      </c>
      <c r="J51" s="22" t="n">
        <v>0.056</v>
      </c>
      <c r="K51" s="22" t="n">
        <v>0.056</v>
      </c>
      <c r="R51" s="7" t="inlineStr">
        <is>
          <t>Q2-26: $119.1M x 4 / avg debt ~$8.5B = 5.6%.</t>
        </is>
      </c>
    </row>
    <row r="52">
      <c r="A52" s="5" t="inlineStr">
        <is>
          <t>Non-cash share of interest expense (accretion/amortization)</t>
        </is>
      </c>
      <c r="B52" s="7" t="inlineStr">
        <is>
          <t>%</t>
        </is>
      </c>
      <c r="D52" s="22" t="n">
        <v>0.25</v>
      </c>
      <c r="E52" s="22" t="n">
        <v>0.25</v>
      </c>
      <c r="F52" s="22" t="n">
        <v>0.25</v>
      </c>
      <c r="G52" s="22" t="n">
        <v>0.25</v>
      </c>
      <c r="H52" s="22" t="n">
        <v>0.25</v>
      </c>
      <c r="I52" s="22" t="n">
        <v>0.25</v>
      </c>
      <c r="J52" s="22" t="n">
        <v>0.25</v>
      </c>
      <c r="K52" s="22" t="n">
        <v>0.25</v>
      </c>
      <c r="R52" s="7" t="inlineStr">
        <is>
          <t>H1-26: $42.5M amortization of discount / $182.8M interest = 23%.</t>
        </is>
      </c>
    </row>
    <row r="53">
      <c r="A53" s="5" t="inlineStr">
        <is>
          <t>Interest yield on opening cash</t>
        </is>
      </c>
      <c r="B53" s="7" t="inlineStr">
        <is>
          <t>%</t>
        </is>
      </c>
      <c r="D53" s="22" t="n">
        <v>0.015</v>
      </c>
      <c r="E53" s="22" t="n">
        <v>0.015</v>
      </c>
      <c r="F53" s="22" t="n">
        <v>0.015</v>
      </c>
      <c r="G53" s="22" t="n">
        <v>0.015</v>
      </c>
      <c r="H53" s="22" t="n">
        <v>0.015</v>
      </c>
      <c r="I53" s="22" t="n">
        <v>0.015</v>
      </c>
      <c r="J53" s="22" t="n">
        <v>0.015</v>
      </c>
      <c r="K53" s="22" t="n">
        <v>0.015</v>
      </c>
      <c r="R53" s="7" t="inlineStr">
        <is>
          <t>Q2-26: $24.1M x 4 / $9.3B opening cash = ~1.0%; Q1 ~1.5%.</t>
        </is>
      </c>
    </row>
    <row r="54">
      <c r="A54" s="5" t="inlineStr">
        <is>
          <t>Tax rate on positive pre-tax income</t>
        </is>
      </c>
      <c r="B54" s="7" t="inlineStr">
        <is>
          <t>%</t>
        </is>
      </c>
      <c r="D54" s="22" t="n">
        <v>0.15</v>
      </c>
      <c r="E54" s="22" t="n">
        <v>0.15</v>
      </c>
      <c r="F54" s="22" t="n">
        <v>0.15</v>
      </c>
      <c r="G54" s="22" t="n">
        <v>0.15</v>
      </c>
      <c r="H54" s="22" t="n">
        <v>0.15</v>
      </c>
      <c r="I54" s="22" t="n">
        <v>0.15</v>
      </c>
      <c r="J54" s="22" t="n">
        <v>0.15</v>
      </c>
      <c r="K54" s="22" t="n">
        <v>0.15</v>
      </c>
      <c r="R54" s="7" t="inlineStr">
        <is>
          <t>ASSUMPTION: NOLs shelter early profits; blended cash rate.</t>
        </is>
      </c>
    </row>
    <row r="55">
      <c r="A55" s="5" t="inlineStr">
        <is>
          <t>Minimum cash balance</t>
        </is>
      </c>
      <c r="B55" s="7" t="inlineStr">
        <is>
          <t>$M</t>
        </is>
      </c>
      <c r="D55" s="20" t="n">
        <v>3000</v>
      </c>
      <c r="E55" s="20" t="n">
        <v>3000</v>
      </c>
      <c r="F55" s="20" t="n">
        <v>3000</v>
      </c>
      <c r="G55" s="20" t="n">
        <v>3000</v>
      </c>
      <c r="H55" s="20" t="n">
        <v>3000</v>
      </c>
      <c r="I55" s="20" t="n">
        <v>3000</v>
      </c>
      <c r="J55" s="20" t="n">
        <v>3000</v>
      </c>
      <c r="K55" s="20" t="n">
        <v>3000</v>
      </c>
      <c r="R55" s="7" t="inlineStr">
        <is>
          <t>ASSUMPTION: ~1 quarter of opex + capex deposits.</t>
        </is>
      </c>
    </row>
    <row r="56">
      <c r="A56" s="5" t="inlineStr">
        <is>
          <t>Debt share of new external funding (active scenario)</t>
        </is>
      </c>
      <c r="B56" s="7" t="inlineStr">
        <is>
          <t>%</t>
        </is>
      </c>
      <c r="D56" s="14">
        <f>'Scenarios'!$F$13</f>
        <v/>
      </c>
      <c r="E56" s="14">
        <f>'Scenarios'!$F$13</f>
        <v/>
      </c>
      <c r="F56" s="14">
        <f>'Scenarios'!$F$13</f>
        <v/>
      </c>
      <c r="G56" s="14">
        <f>'Scenarios'!$F$13</f>
        <v/>
      </c>
      <c r="H56" s="14">
        <f>'Scenarios'!$F$13</f>
        <v/>
      </c>
      <c r="I56" s="14">
        <f>'Scenarios'!$F$13</f>
        <v/>
      </c>
      <c r="J56" s="14">
        <f>'Scenarios'!$F$13</f>
        <v/>
      </c>
      <c r="K56" s="14">
        <f>'Scenarios'!$F$13</f>
        <v/>
      </c>
      <c r="R56" s="7" t="inlineStr"/>
    </row>
    <row r="57">
      <c r="A57" s="5" t="inlineStr">
        <is>
          <t>ATM equity issue price (memo for share count)</t>
        </is>
      </c>
      <c r="B57" s="7" t="inlineStr">
        <is>
          <t>$/sh</t>
        </is>
      </c>
      <c r="D57" s="10">
        <f>'Inputs &amp; Sources'!$B$6</f>
        <v/>
      </c>
      <c r="E57" s="10">
        <f>'Inputs &amp; Sources'!$B$6</f>
        <v/>
      </c>
      <c r="F57" s="10">
        <f>'Inputs &amp; Sources'!$B$6</f>
        <v/>
      </c>
      <c r="G57" s="10">
        <f>'Inputs &amp; Sources'!$B$6</f>
        <v/>
      </c>
      <c r="H57" s="10">
        <f>'Inputs &amp; Sources'!$B$6</f>
        <v/>
      </c>
      <c r="I57" s="10">
        <f>'Inputs &amp; Sources'!$B$6</f>
        <v/>
      </c>
      <c r="J57" s="10">
        <f>'Inputs &amp; Sources'!$B$6</f>
        <v/>
      </c>
      <c r="K57" s="10">
        <f>'Inputs &amp; Sources'!$B$6</f>
        <v/>
      </c>
      <c r="R57" s="7" t="inlineStr">
        <is>
          <t>Held at current price (no price path assumed).</t>
        </is>
      </c>
    </row>
    <row r="58">
      <c r="A58" s="5" t="inlineStr">
        <is>
          <t>Committed financing - net cash proceeds</t>
        </is>
      </c>
      <c r="B58" s="7" t="inlineStr">
        <is>
          <t>$M</t>
        </is>
      </c>
      <c r="D58" s="29">
        <f>'Inputs &amp; Sources'!$B$14+'Inputs &amp; Sources'!$B$15</f>
        <v/>
      </c>
      <c r="E58" s="20" t="n">
        <v>0</v>
      </c>
      <c r="F58" s="20" t="n">
        <v>0</v>
      </c>
      <c r="G58" s="20" t="n">
        <v>0</v>
      </c>
      <c r="H58" s="20" t="n">
        <v>0</v>
      </c>
      <c r="I58" s="20" t="n">
        <v>0</v>
      </c>
      <c r="J58" s="20" t="n">
        <v>0</v>
      </c>
      <c r="K58" s="20" t="n">
        <v>0</v>
      </c>
      <c r="R58" s="7" t="inlineStr">
        <is>
          <t>Q3-26: Aug-26 converts (est. net) + Jul-26 secured facility.</t>
        </is>
      </c>
    </row>
    <row r="59">
      <c r="A59" s="5" t="inlineStr">
        <is>
          <t>Convertible principal exchanged for equity (non-cash)</t>
        </is>
      </c>
      <c r="B59" s="7" t="inlineStr">
        <is>
          <t>$M</t>
        </is>
      </c>
      <c r="D59" s="29">
        <f>'Inputs &amp; Sources'!$B$16</f>
        <v/>
      </c>
      <c r="E59" s="20" t="n">
        <v>0</v>
      </c>
      <c r="F59" s="20" t="n">
        <v>0</v>
      </c>
      <c r="G59" s="20" t="n">
        <v>0</v>
      </c>
      <c r="H59" s="20" t="n">
        <v>0</v>
      </c>
      <c r="I59" s="20" t="n">
        <v>0</v>
      </c>
      <c r="J59" s="20" t="n">
        <v>0</v>
      </c>
      <c r="K59" s="20" t="n">
        <v>0</v>
      </c>
      <c r="R59" s="7" t="inlineStr">
        <is>
          <t>Q3-26: $800M of 2029/2031 notes.</t>
        </is>
      </c>
    </row>
    <row r="60">
      <c r="A60" s="5" t="inlineStr">
        <is>
          <t>Shares issued in exchange</t>
        </is>
      </c>
      <c r="B60" s="7" t="inlineStr">
        <is>
          <t>M sh</t>
        </is>
      </c>
      <c r="D60" s="29">
        <f>'Inputs &amp; Sources'!$B$10</f>
        <v/>
      </c>
      <c r="E60" s="20" t="n">
        <v>0</v>
      </c>
      <c r="F60" s="20" t="n">
        <v>0</v>
      </c>
      <c r="G60" s="20" t="n">
        <v>0</v>
      </c>
      <c r="H60" s="20" t="n">
        <v>0</v>
      </c>
      <c r="I60" s="20" t="n">
        <v>0</v>
      </c>
      <c r="J60" s="20" t="n">
        <v>0</v>
      </c>
      <c r="K60" s="20" t="n">
        <v>0</v>
      </c>
      <c r="R60" s="7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2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" customWidth="1" min="13" max="13"/>
    <col width="11" customWidth="1" min="14" max="14"/>
    <col width="11" customWidth="1" min="15" max="15"/>
    <col width="11" customWidth="1" min="16" max="16"/>
    <col width="11" customWidth="1" min="17" max="17"/>
    <col width="70" customWidth="1" min="18" max="18"/>
  </cols>
  <sheetData>
    <row r="1">
      <c r="A1" s="1" t="inlineStr">
        <is>
          <t>Income Statement</t>
        </is>
      </c>
    </row>
    <row r="2">
      <c r="A2" s="2" t="inlineStr">
        <is>
          <t>$M. Quarterly Q3'26E-Q4'27E, annual FY2028E-FY2029E. Summary columns: FY2026E = H1'26 actual + Q3E + Q4E. Costs shown as negatives.</t>
        </is>
      </c>
    </row>
    <row r="3"/>
    <row r="4">
      <c r="A4" s="13" t="inlineStr"/>
      <c r="B4" s="18" t="inlineStr">
        <is>
          <t>Unit</t>
        </is>
      </c>
      <c r="C4" s="18" t="inlineStr"/>
      <c r="D4" s="18" t="inlineStr">
        <is>
          <t>Q3'26E</t>
        </is>
      </c>
      <c r="E4" s="18" t="inlineStr">
        <is>
          <t>Q4'26E</t>
        </is>
      </c>
      <c r="F4" s="18" t="inlineStr">
        <is>
          <t>Q1'27E</t>
        </is>
      </c>
      <c r="G4" s="18" t="inlineStr">
        <is>
          <t>Q2'27E</t>
        </is>
      </c>
      <c r="H4" s="18" t="inlineStr">
        <is>
          <t>Q3'27E</t>
        </is>
      </c>
      <c r="I4" s="18" t="inlineStr">
        <is>
          <t>Q4'27E</t>
        </is>
      </c>
      <c r="J4" s="18" t="inlineStr">
        <is>
          <t>FY2028E</t>
        </is>
      </c>
      <c r="K4" s="18" t="inlineStr">
        <is>
          <t>FY2029E</t>
        </is>
      </c>
      <c r="L4" s="18" t="inlineStr"/>
      <c r="M4" s="31" t="inlineStr"/>
      <c r="N4" s="18" t="inlineStr">
        <is>
          <t>FY2026E</t>
        </is>
      </c>
      <c r="O4" s="18" t="inlineStr">
        <is>
          <t>FY2027E</t>
        </is>
      </c>
      <c r="P4" s="18" t="inlineStr">
        <is>
          <t>FY2028E</t>
        </is>
      </c>
      <c r="Q4" s="18" t="inlineStr">
        <is>
          <t>FY2029E</t>
        </is>
      </c>
      <c r="R4" s="13" t="inlineStr">
        <is>
          <t>Basis / note</t>
        </is>
      </c>
    </row>
    <row r="5">
      <c r="A5" s="5" t="inlineStr">
        <is>
          <t>AI cloud revenue</t>
        </is>
      </c>
      <c r="D5" s="29">
        <f>'Drivers'!D24</f>
        <v/>
      </c>
      <c r="E5" s="29">
        <f>'Drivers'!E24</f>
        <v/>
      </c>
      <c r="F5" s="29">
        <f>'Drivers'!F24</f>
        <v/>
      </c>
      <c r="G5" s="29">
        <f>'Drivers'!G24</f>
        <v/>
      </c>
      <c r="H5" s="29">
        <f>'Drivers'!H24</f>
        <v/>
      </c>
      <c r="I5" s="29">
        <f>'Drivers'!I24</f>
        <v/>
      </c>
      <c r="J5" s="29">
        <f>'Drivers'!J24</f>
        <v/>
      </c>
      <c r="K5" s="29">
        <f>'Drivers'!K24</f>
        <v/>
      </c>
      <c r="O5" s="29">
        <f>SUM(F5:I5)</f>
        <v/>
      </c>
      <c r="P5" s="29">
        <f>J5</f>
        <v/>
      </c>
      <c r="Q5" s="29">
        <f>K5</f>
        <v/>
      </c>
      <c r="R5" s="7" t="inlineStr">
        <is>
          <t>FY2026E summary split n.a. (H1 AI-cloud revenue not separately captured); total shown below.</t>
        </is>
      </c>
    </row>
    <row r="6">
      <c r="A6" s="5" t="inlineStr">
        <is>
          <t>Other revenue</t>
        </is>
      </c>
      <c r="D6" s="29">
        <f>'Drivers'!D25</f>
        <v/>
      </c>
      <c r="E6" s="29">
        <f>'Drivers'!E25</f>
        <v/>
      </c>
      <c r="F6" s="29">
        <f>'Drivers'!F25</f>
        <v/>
      </c>
      <c r="G6" s="29">
        <f>'Drivers'!G25</f>
        <v/>
      </c>
      <c r="H6" s="29">
        <f>'Drivers'!H25</f>
        <v/>
      </c>
      <c r="I6" s="29">
        <f>'Drivers'!I25</f>
        <v/>
      </c>
      <c r="J6" s="29">
        <f>'Drivers'!J25</f>
        <v/>
      </c>
      <c r="K6" s="29">
        <f>'Drivers'!K25</f>
        <v/>
      </c>
      <c r="O6" s="29">
        <f>SUM(F6:I6)</f>
        <v/>
      </c>
      <c r="P6" s="29">
        <f>J6</f>
        <v/>
      </c>
      <c r="Q6" s="29">
        <f>K6</f>
        <v/>
      </c>
      <c r="R6" s="7" t="inlineStr"/>
    </row>
    <row r="7">
      <c r="A7" s="8" t="inlineStr">
        <is>
          <t>Total revenue</t>
        </is>
      </c>
      <c r="D7" s="28">
        <f>D5+D6</f>
        <v/>
      </c>
      <c r="E7" s="28">
        <f>E5+E6</f>
        <v/>
      </c>
      <c r="F7" s="28">
        <f>F5+F6</f>
        <v/>
      </c>
      <c r="G7" s="28">
        <f>G5+G6</f>
        <v/>
      </c>
      <c r="H7" s="28">
        <f>H5+H6</f>
        <v/>
      </c>
      <c r="I7" s="28">
        <f>I5+I6</f>
        <v/>
      </c>
      <c r="J7" s="28">
        <f>J5+J6</f>
        <v/>
      </c>
      <c r="K7" s="28">
        <f>K5+K6</f>
        <v/>
      </c>
      <c r="N7" s="29">
        <f>('Inputs &amp; Sources'!$F$56+'Inputs &amp; Sources'!$G$56)+D7+E7</f>
        <v/>
      </c>
      <c r="O7" s="29">
        <f>SUM(F7:I7)</f>
        <v/>
      </c>
      <c r="P7" s="29">
        <f>J7</f>
        <v/>
      </c>
      <c r="Q7" s="29">
        <f>K7</f>
        <v/>
      </c>
      <c r="R7" s="7" t="inlineStr"/>
    </row>
    <row r="8">
      <c r="A8" s="5" t="inlineStr">
        <is>
          <t xml:space="preserve">  YoY growth (annual)</t>
        </is>
      </c>
      <c r="N8" s="14">
        <f>N7/'Inputs &amp; Sources'!$I$56-1</f>
        <v/>
      </c>
      <c r="O8" s="14">
        <f>O7/N7-1</f>
        <v/>
      </c>
      <c r="P8" s="14">
        <f>P7/O7-1</f>
        <v/>
      </c>
      <c r="Q8" s="14">
        <f>Q7/P7-1</f>
        <v/>
      </c>
      <c r="R8" s="7" t="inlineStr"/>
    </row>
    <row r="9">
      <c r="A9" s="5" t="inlineStr">
        <is>
          <t>Cost of revenues (cash, ex-D&amp;A)</t>
        </is>
      </c>
      <c r="D9" s="29">
        <f>-D7*'Drivers'!D31</f>
        <v/>
      </c>
      <c r="E9" s="29">
        <f>-E7*'Drivers'!E31</f>
        <v/>
      </c>
      <c r="F9" s="29">
        <f>-F7*'Drivers'!F31</f>
        <v/>
      </c>
      <c r="G9" s="29">
        <f>-G7*'Drivers'!G31</f>
        <v/>
      </c>
      <c r="H9" s="29">
        <f>-H7*'Drivers'!H31</f>
        <v/>
      </c>
      <c r="I9" s="29">
        <f>-I7*'Drivers'!I31</f>
        <v/>
      </c>
      <c r="J9" s="29">
        <f>-J7*'Drivers'!J31</f>
        <v/>
      </c>
      <c r="K9" s="29">
        <f>-K7*'Drivers'!K31</f>
        <v/>
      </c>
      <c r="N9" s="29">
        <f>-('Inputs &amp; Sources'!$F$57+'Inputs &amp; Sources'!$G$57)+D9+E9</f>
        <v/>
      </c>
      <c r="O9" s="29">
        <f>SUM(F9:I9)</f>
        <v/>
      </c>
      <c r="P9" s="29">
        <f>J9</f>
        <v/>
      </c>
      <c r="Q9" s="29">
        <f>K9</f>
        <v/>
      </c>
      <c r="R9" s="7" t="inlineStr"/>
    </row>
    <row r="10">
      <c r="A10" s="5" t="inlineStr">
        <is>
          <t>R&amp;D + SG&amp;A (cash, ex-SBC)</t>
        </is>
      </c>
      <c r="D10" s="29">
        <f>-D7*'Drivers'!D32</f>
        <v/>
      </c>
      <c r="E10" s="29">
        <f>-E7*'Drivers'!E32</f>
        <v/>
      </c>
      <c r="F10" s="29">
        <f>-F7*'Drivers'!F32</f>
        <v/>
      </c>
      <c r="G10" s="29">
        <f>-G7*'Drivers'!G32</f>
        <v/>
      </c>
      <c r="H10" s="29">
        <f>-H7*'Drivers'!H32</f>
        <v/>
      </c>
      <c r="I10" s="29">
        <f>-I7*'Drivers'!I32</f>
        <v/>
      </c>
      <c r="J10" s="29">
        <f>-J7*'Drivers'!J32</f>
        <v/>
      </c>
      <c r="K10" s="29">
        <f>-K7*'Drivers'!K32</f>
        <v/>
      </c>
      <c r="N10" s="29">
        <f>-(('Inputs &amp; Sources'!$F$56+'Inputs &amp; Sources'!$G$56)-('Inputs &amp; Sources'!$F$67+'Inputs &amp; Sources'!$G$67)-('Inputs &amp; Sources'!$F$57+'Inputs &amp; Sources'!$G$57))+D10+E10</f>
        <v/>
      </c>
      <c r="O10" s="29">
        <f>SUM(F10:I10)</f>
        <v/>
      </c>
      <c r="P10" s="29">
        <f>J10</f>
        <v/>
      </c>
      <c r="Q10" s="29">
        <f>K10</f>
        <v/>
      </c>
      <c r="R10" s="7" t="inlineStr">
        <is>
          <t>H1'26A derived: revenue - adj. EBITDA - cost of revenues.</t>
        </is>
      </c>
    </row>
    <row r="11">
      <c r="A11" s="8" t="inlineStr">
        <is>
          <t>Adjusted EBITDA</t>
        </is>
      </c>
      <c r="D11" s="28">
        <f>D7+D9+D10</f>
        <v/>
      </c>
      <c r="E11" s="28">
        <f>E7+E9+E10</f>
        <v/>
      </c>
      <c r="F11" s="28">
        <f>F7+F9+F10</f>
        <v/>
      </c>
      <c r="G11" s="28">
        <f>G7+G9+G10</f>
        <v/>
      </c>
      <c r="H11" s="28">
        <f>H7+H9+H10</f>
        <v/>
      </c>
      <c r="I11" s="28">
        <f>I7+I9+I10</f>
        <v/>
      </c>
      <c r="J11" s="28">
        <f>J7+J9+J10</f>
        <v/>
      </c>
      <c r="K11" s="28">
        <f>K7+K9+K10</f>
        <v/>
      </c>
      <c r="N11" s="28">
        <f>N7+N9+N10</f>
        <v/>
      </c>
      <c r="O11" s="28">
        <f>O7+O9+O10</f>
        <v/>
      </c>
      <c r="P11" s="28">
        <f>P7+P9+P10</f>
        <v/>
      </c>
      <c r="Q11" s="28">
        <f>Q7+Q9+Q10</f>
        <v/>
      </c>
      <c r="R11" s="7" t="inlineStr"/>
    </row>
    <row r="12">
      <c r="A12" s="5" t="inlineStr">
        <is>
          <t xml:space="preserve">  Adj. EBITDA margin</t>
        </is>
      </c>
      <c r="D12" s="14">
        <f>D11/D7</f>
        <v/>
      </c>
      <c r="E12" s="14">
        <f>E11/E7</f>
        <v/>
      </c>
      <c r="F12" s="14">
        <f>F11/F7</f>
        <v/>
      </c>
      <c r="G12" s="14">
        <f>G11/G7</f>
        <v/>
      </c>
      <c r="H12" s="14">
        <f>H11/H7</f>
        <v/>
      </c>
      <c r="I12" s="14">
        <f>I11/I7</f>
        <v/>
      </c>
      <c r="J12" s="14">
        <f>J11/J7</f>
        <v/>
      </c>
      <c r="K12" s="14">
        <f>K11/K7</f>
        <v/>
      </c>
      <c r="N12" s="14">
        <f>N11/N7</f>
        <v/>
      </c>
      <c r="O12" s="14">
        <f>O11/O7</f>
        <v/>
      </c>
      <c r="P12" s="14">
        <f>P11/P7</f>
        <v/>
      </c>
      <c r="Q12" s="14">
        <f>Q11/Q7</f>
        <v/>
      </c>
      <c r="R12" s="7" t="inlineStr"/>
    </row>
    <row r="13">
      <c r="A13" s="5" t="inlineStr">
        <is>
          <t>Share-based compensation</t>
        </is>
      </c>
      <c r="D13" s="29">
        <f>-D7*'Drivers'!D33</f>
        <v/>
      </c>
      <c r="E13" s="29">
        <f>-E7*'Drivers'!E33</f>
        <v/>
      </c>
      <c r="F13" s="29">
        <f>-F7*'Drivers'!F33</f>
        <v/>
      </c>
      <c r="G13" s="29">
        <f>-G7*'Drivers'!G33</f>
        <v/>
      </c>
      <c r="H13" s="29">
        <f>-H7*'Drivers'!H33</f>
        <v/>
      </c>
      <c r="I13" s="29">
        <f>-I7*'Drivers'!I33</f>
        <v/>
      </c>
      <c r="J13" s="29">
        <f>-J7*'Drivers'!J33</f>
        <v/>
      </c>
      <c r="K13" s="29">
        <f>-K7*'Drivers'!K33</f>
        <v/>
      </c>
      <c r="N13" s="29">
        <f>-('Inputs &amp; Sources'!$F$68+'Inputs &amp; Sources'!$G$68)+D13+E13</f>
        <v/>
      </c>
      <c r="O13" s="29">
        <f>SUM(F13:I13)</f>
        <v/>
      </c>
      <c r="P13" s="29">
        <f>J13</f>
        <v/>
      </c>
      <c r="Q13" s="29">
        <f>K13</f>
        <v/>
      </c>
      <c r="R13" s="7" t="inlineStr"/>
    </row>
    <row r="14">
      <c r="A14" s="5" t="inlineStr">
        <is>
          <t>Other adj. EBITDA reconciling items (non-recurring)</t>
        </is>
      </c>
      <c r="D14" s="20" t="n">
        <v>0</v>
      </c>
      <c r="E14" s="20" t="n">
        <v>0</v>
      </c>
      <c r="F14" s="20" t="n">
        <v>0</v>
      </c>
      <c r="G14" s="20" t="n">
        <v>0</v>
      </c>
      <c r="H14" s="20" t="n">
        <v>0</v>
      </c>
      <c r="I14" s="20" t="n">
        <v>0</v>
      </c>
      <c r="J14" s="20" t="n">
        <v>0</v>
      </c>
      <c r="K14" s="20" t="n">
        <v>0</v>
      </c>
      <c r="N14" s="29">
        <f>(('Inputs &amp; Sources'!$F$61+'Inputs &amp; Sources'!$G$61)-('Inputs &amp; Sources'!$F$67+'Inputs &amp; Sources'!$G$67)+('Inputs &amp; Sources'!$F$68+'Inputs &amp; Sources'!$G$68)+('Inputs &amp; Sources'!$F$60+'Inputs &amp; Sources'!$G$60))+D14+E14</f>
        <v/>
      </c>
      <c r="O14" s="29">
        <f>SUM(F14:I14)</f>
        <v/>
      </c>
      <c r="P14" s="29">
        <f>J14</f>
        <v/>
      </c>
      <c r="Q14" s="29">
        <f>K14</f>
        <v/>
      </c>
      <c r="R14" s="7" t="inlineStr">
        <is>
          <t>H1'26A derived residual (mainly Eigen AI post-combination expense). Zero in forecast.</t>
        </is>
      </c>
    </row>
    <row r="15">
      <c r="A15" s="5" t="inlineStr">
        <is>
          <t>Depreciation &amp; amortization</t>
        </is>
      </c>
      <c r="D15" s="29">
        <f>-'Capex &amp; Funding'!D8</f>
        <v/>
      </c>
      <c r="E15" s="29">
        <f>-'Capex &amp; Funding'!E8</f>
        <v/>
      </c>
      <c r="F15" s="29">
        <f>-'Capex &amp; Funding'!F8</f>
        <v/>
      </c>
      <c r="G15" s="29">
        <f>-'Capex &amp; Funding'!G8</f>
        <v/>
      </c>
      <c r="H15" s="29">
        <f>-'Capex &amp; Funding'!H8</f>
        <v/>
      </c>
      <c r="I15" s="29">
        <f>-'Capex &amp; Funding'!I8</f>
        <v/>
      </c>
      <c r="J15" s="29">
        <f>-'Capex &amp; Funding'!J8</f>
        <v/>
      </c>
      <c r="K15" s="29">
        <f>-'Capex &amp; Funding'!K8</f>
        <v/>
      </c>
      <c r="N15" s="29">
        <f>-('Inputs &amp; Sources'!$F$60+'Inputs &amp; Sources'!$G$60)+D15+E15</f>
        <v/>
      </c>
      <c r="O15" s="29">
        <f>SUM(F15:I15)</f>
        <v/>
      </c>
      <c r="P15" s="29">
        <f>J15</f>
        <v/>
      </c>
      <c r="Q15" s="29">
        <f>K15</f>
        <v/>
      </c>
      <c r="R15" s="7" t="inlineStr"/>
    </row>
    <row r="16">
      <c r="A16" s="8" t="inlineStr">
        <is>
          <t>Operating income (EBIT)</t>
        </is>
      </c>
      <c r="D16" s="28">
        <f>D11+D13+D14+D15</f>
        <v/>
      </c>
      <c r="E16" s="28">
        <f>E11+E13+E14+E15</f>
        <v/>
      </c>
      <c r="F16" s="28">
        <f>F11+F13+F14+F15</f>
        <v/>
      </c>
      <c r="G16" s="28">
        <f>G11+G13+G14+G15</f>
        <v/>
      </c>
      <c r="H16" s="28">
        <f>H11+H13+H14+H15</f>
        <v/>
      </c>
      <c r="I16" s="28">
        <f>I11+I13+I14+I15</f>
        <v/>
      </c>
      <c r="J16" s="28">
        <f>J11+J13+J14+J15</f>
        <v/>
      </c>
      <c r="K16" s="28">
        <f>K11+K13+K14+K15</f>
        <v/>
      </c>
      <c r="N16" s="28">
        <f>N11+N13+N14+N15</f>
        <v/>
      </c>
      <c r="O16" s="28">
        <f>O11+O13+O14+O15</f>
        <v/>
      </c>
      <c r="P16" s="28">
        <f>P11+P13+P14+P15</f>
        <v/>
      </c>
      <c r="Q16" s="28">
        <f>Q11+Q13+Q14+Q15</f>
        <v/>
      </c>
      <c r="R16" s="7" t="inlineStr"/>
    </row>
    <row r="17">
      <c r="A17" s="5" t="inlineStr">
        <is>
          <t>Interest income</t>
        </is>
      </c>
      <c r="D17" s="29">
        <f>'Capex &amp; Funding'!D25</f>
        <v/>
      </c>
      <c r="E17" s="29">
        <f>'Capex &amp; Funding'!E25</f>
        <v/>
      </c>
      <c r="F17" s="29">
        <f>'Capex &amp; Funding'!F25</f>
        <v/>
      </c>
      <c r="G17" s="29">
        <f>'Capex &amp; Funding'!G25</f>
        <v/>
      </c>
      <c r="H17" s="29">
        <f>'Capex &amp; Funding'!H25</f>
        <v/>
      </c>
      <c r="I17" s="29">
        <f>'Capex &amp; Funding'!I25</f>
        <v/>
      </c>
      <c r="J17" s="29">
        <f>'Capex &amp; Funding'!J25</f>
        <v/>
      </c>
      <c r="K17" s="29">
        <f>'Capex &amp; Funding'!K25</f>
        <v/>
      </c>
      <c r="N17" s="29">
        <f>('Inputs &amp; Sources'!$F$62+'Inputs &amp; Sources'!$G$62)+D17+E17</f>
        <v/>
      </c>
      <c r="O17" s="29">
        <f>SUM(F17:I17)</f>
        <v/>
      </c>
      <c r="P17" s="29">
        <f>J17</f>
        <v/>
      </c>
      <c r="Q17" s="29">
        <f>K17</f>
        <v/>
      </c>
      <c r="R17" s="7" t="inlineStr"/>
    </row>
    <row r="18">
      <c r="A18" s="5" t="inlineStr">
        <is>
          <t>Interest expense</t>
        </is>
      </c>
      <c r="D18" s="29">
        <f>-'Capex &amp; Funding'!D20</f>
        <v/>
      </c>
      <c r="E18" s="29">
        <f>-'Capex &amp; Funding'!E20</f>
        <v/>
      </c>
      <c r="F18" s="29">
        <f>-'Capex &amp; Funding'!F20</f>
        <v/>
      </c>
      <c r="G18" s="29">
        <f>-'Capex &amp; Funding'!G20</f>
        <v/>
      </c>
      <c r="H18" s="29">
        <f>-'Capex &amp; Funding'!H20</f>
        <v/>
      </c>
      <c r="I18" s="29">
        <f>-'Capex &amp; Funding'!I20</f>
        <v/>
      </c>
      <c r="J18" s="29">
        <f>-'Capex &amp; Funding'!J20</f>
        <v/>
      </c>
      <c r="K18" s="29">
        <f>-'Capex &amp; Funding'!K20</f>
        <v/>
      </c>
      <c r="N18" s="29">
        <f>('Inputs &amp; Sources'!$F$63+'Inputs &amp; Sources'!$G$63)+D18+E18</f>
        <v/>
      </c>
      <c r="O18" s="29">
        <f>SUM(F18:I18)</f>
        <v/>
      </c>
      <c r="P18" s="29">
        <f>J18</f>
        <v/>
      </c>
      <c r="Q18" s="29">
        <f>K18</f>
        <v/>
      </c>
      <c r="R18" s="7" t="inlineStr"/>
    </row>
    <row r="19">
      <c r="A19" s="5" t="inlineStr">
        <is>
          <t>Other non-operating income, net</t>
        </is>
      </c>
      <c r="D19" s="20" t="n">
        <v>0</v>
      </c>
      <c r="E19" s="20" t="n">
        <v>0</v>
      </c>
      <c r="F19" s="20" t="n">
        <v>0</v>
      </c>
      <c r="G19" s="20" t="n">
        <v>0</v>
      </c>
      <c r="H19" s="20" t="n">
        <v>0</v>
      </c>
      <c r="I19" s="20" t="n">
        <v>0</v>
      </c>
      <c r="J19" s="20" t="n">
        <v>0</v>
      </c>
      <c r="K19" s="20" t="n">
        <v>0</v>
      </c>
      <c r="N19" s="29">
        <f>('Inputs &amp; Sources'!$F$64+'Inputs &amp; Sources'!$G$64)+D19+E19</f>
        <v/>
      </c>
      <c r="O19" s="29">
        <f>SUM(F19:I19)</f>
        <v/>
      </c>
      <c r="P19" s="29">
        <f>J19</f>
        <v/>
      </c>
      <c r="Q19" s="29">
        <f>K19</f>
        <v/>
      </c>
      <c r="R19" s="7" t="inlineStr">
        <is>
          <t>H1'26A incl. $780.6M equity revaluation gain. Not forecast.</t>
        </is>
      </c>
    </row>
    <row r="20">
      <c r="A20" s="8" t="inlineStr">
        <is>
          <t>Pre-tax income</t>
        </is>
      </c>
      <c r="D20" s="28">
        <f>D16+D17+D18+D19</f>
        <v/>
      </c>
      <c r="E20" s="28">
        <f>E16+E17+E18+E19</f>
        <v/>
      </c>
      <c r="F20" s="28">
        <f>F16+F17+F18+F19</f>
        <v/>
      </c>
      <c r="G20" s="28">
        <f>G16+G17+G18+G19</f>
        <v/>
      </c>
      <c r="H20" s="28">
        <f>H16+H17+H18+H19</f>
        <v/>
      </c>
      <c r="I20" s="28">
        <f>I16+I17+I18+I19</f>
        <v/>
      </c>
      <c r="J20" s="28">
        <f>J16+J17+J18+J19</f>
        <v/>
      </c>
      <c r="K20" s="28">
        <f>K16+K17+K18+K19</f>
        <v/>
      </c>
      <c r="N20" s="28">
        <f>N16+N17+N18+N19</f>
        <v/>
      </c>
      <c r="O20" s="28">
        <f>O16+O17+O18+O19</f>
        <v/>
      </c>
      <c r="P20" s="28">
        <f>P16+P17+P18+P19</f>
        <v/>
      </c>
      <c r="Q20" s="28">
        <f>Q16+Q17+Q18+Q19</f>
        <v/>
      </c>
      <c r="R20" s="7" t="inlineStr"/>
    </row>
    <row r="21">
      <c r="A21" s="5" t="inlineStr">
        <is>
          <t>Income tax</t>
        </is>
      </c>
      <c r="D21" s="29">
        <f>-MAX(0,D20)*'Drivers'!D54</f>
        <v/>
      </c>
      <c r="E21" s="29">
        <f>-MAX(0,E20)*'Drivers'!E54</f>
        <v/>
      </c>
      <c r="F21" s="29">
        <f>-MAX(0,F20)*'Drivers'!F54</f>
        <v/>
      </c>
      <c r="G21" s="29">
        <f>-MAX(0,G20)*'Drivers'!G54</f>
        <v/>
      </c>
      <c r="H21" s="29">
        <f>-MAX(0,H20)*'Drivers'!H54</f>
        <v/>
      </c>
      <c r="I21" s="29">
        <f>-MAX(0,I20)*'Drivers'!I54</f>
        <v/>
      </c>
      <c r="J21" s="29">
        <f>-MAX(0,J20)*'Drivers'!J54</f>
        <v/>
      </c>
      <c r="K21" s="29">
        <f>-MAX(0,K20)*'Drivers'!K54</f>
        <v/>
      </c>
      <c r="N21" s="29">
        <f>('Inputs &amp; Sources'!$F$65+'Inputs &amp; Sources'!$G$65)+D21+E21</f>
        <v/>
      </c>
      <c r="O21" s="29">
        <f>SUM(F21:I21)</f>
        <v/>
      </c>
      <c r="P21" s="29">
        <f>J21</f>
        <v/>
      </c>
      <c r="Q21" s="29">
        <f>K21</f>
        <v/>
      </c>
      <c r="R21" s="7" t="inlineStr"/>
    </row>
    <row r="22">
      <c r="A22" s="8" t="inlineStr">
        <is>
          <t>Net income / (loss)</t>
        </is>
      </c>
      <c r="D22" s="28">
        <f>D20+D21</f>
        <v/>
      </c>
      <c r="E22" s="28">
        <f>E20+E21</f>
        <v/>
      </c>
      <c r="F22" s="28">
        <f>F20+F21</f>
        <v/>
      </c>
      <c r="G22" s="28">
        <f>G20+G21</f>
        <v/>
      </c>
      <c r="H22" s="28">
        <f>H20+H21</f>
        <v/>
      </c>
      <c r="I22" s="28">
        <f>I20+I21</f>
        <v/>
      </c>
      <c r="J22" s="28">
        <f>J20+J21</f>
        <v/>
      </c>
      <c r="K22" s="28">
        <f>K20+K21</f>
        <v/>
      </c>
      <c r="N22" s="28">
        <f>N20+N21</f>
        <v/>
      </c>
      <c r="O22" s="28">
        <f>O20+O21</f>
        <v/>
      </c>
      <c r="P22" s="28">
        <f>P20+P21</f>
        <v/>
      </c>
      <c r="Q22" s="28">
        <f>Q20+Q21</f>
        <v/>
      </c>
      <c r="R22" s="7" t="inlineStr"/>
    </row>
    <row r="23"/>
    <row r="24">
      <c r="A24" s="8" t="inlineStr">
        <is>
          <t>Memo: KPIs</t>
        </is>
      </c>
      <c r="R24" s="7" t="inlineStr"/>
    </row>
    <row r="25">
      <c r="A25" s="5" t="inlineStr">
        <is>
          <t xml:space="preserve">  Exit ARR (end of period)</t>
        </is>
      </c>
      <c r="D25" s="29">
        <f>'Drivers'!D28</f>
        <v/>
      </c>
      <c r="E25" s="29">
        <f>'Drivers'!E28</f>
        <v/>
      </c>
      <c r="F25" s="29">
        <f>'Drivers'!F28</f>
        <v/>
      </c>
      <c r="G25" s="29">
        <f>'Drivers'!G28</f>
        <v/>
      </c>
      <c r="H25" s="29">
        <f>'Drivers'!H28</f>
        <v/>
      </c>
      <c r="I25" s="29">
        <f>'Drivers'!I28</f>
        <v/>
      </c>
      <c r="J25" s="29">
        <f>'Drivers'!J28</f>
        <v/>
      </c>
      <c r="K25" s="29">
        <f>'Drivers'!K28</f>
        <v/>
      </c>
      <c r="N25" s="29">
        <f>E25</f>
        <v/>
      </c>
      <c r="O25" s="29">
        <f>I25</f>
        <v/>
      </c>
      <c r="P25" s="29">
        <f>J25</f>
        <v/>
      </c>
      <c r="Q25" s="29">
        <f>K25</f>
        <v/>
      </c>
      <c r="R25" s="7" t="inlineStr"/>
    </row>
    <row r="26">
      <c r="A26" s="5" t="inlineStr">
        <is>
          <t xml:space="preserve">  Adj. EBITDA less capex</t>
        </is>
      </c>
      <c r="D26" s="29">
        <f>D11-'Capex &amp; Funding'!D6</f>
        <v/>
      </c>
      <c r="E26" s="29">
        <f>E11-'Capex &amp; Funding'!E6</f>
        <v/>
      </c>
      <c r="F26" s="29">
        <f>F11-'Capex &amp; Funding'!F6</f>
        <v/>
      </c>
      <c r="G26" s="29">
        <f>G11-'Capex &amp; Funding'!G6</f>
        <v/>
      </c>
      <c r="H26" s="29">
        <f>H11-'Capex &amp; Funding'!H6</f>
        <v/>
      </c>
      <c r="I26" s="29">
        <f>I11-'Capex &amp; Funding'!I6</f>
        <v/>
      </c>
      <c r="J26" s="29">
        <f>J11-'Capex &amp; Funding'!J6</f>
        <v/>
      </c>
      <c r="K26" s="29">
        <f>K11-'Capex &amp; Funding'!K6</f>
        <v/>
      </c>
      <c r="N26" s="29">
        <f>(('Inputs &amp; Sources'!$F$67+'Inputs &amp; Sources'!$G$67)-('Inputs &amp; Sources'!$F$70+'Inputs &amp; Sources'!$G$70))+D26+E26</f>
        <v/>
      </c>
      <c r="O26" s="29">
        <f>SUM(F26:I26)</f>
        <v/>
      </c>
      <c r="P26" s="29">
        <f>J26</f>
        <v/>
      </c>
      <c r="Q26" s="29">
        <f>K26</f>
        <v/>
      </c>
      <c r="R26" s="7" t="inlineStr"/>
    </row>
    <row r="27">
      <c r="A27" s="5" t="inlineStr">
        <is>
          <t xml:space="preserve">  Check: H1'26A net income ties to reported (should be 0)</t>
        </is>
      </c>
      <c r="N27" s="29">
        <f>ROUND((N22-D22-E22)-('Inputs &amp; Sources'!$F$66+'Inputs &amp; Sources'!$G$66),1)</f>
        <v/>
      </c>
      <c r="R27" s="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2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" customWidth="1" min="13" max="13"/>
    <col width="11" customWidth="1" min="14" max="14"/>
    <col width="11" customWidth="1" min="15" max="15"/>
    <col width="11" customWidth="1" min="16" max="16"/>
    <col width="11" customWidth="1" min="17" max="17"/>
    <col width="70" customWidth="1" min="18" max="18"/>
  </cols>
  <sheetData>
    <row r="1">
      <c r="A1" s="1" t="inlineStr">
        <is>
          <t>Balance Sheet</t>
        </is>
      </c>
    </row>
    <row r="2">
      <c r="A2" s="2" t="inlineStr">
        <is>
          <t>$M. Jun-26A condensed from S1. Items without a driver (leases, goodwill, investments, other) are held flat.</t>
        </is>
      </c>
    </row>
    <row r="3"/>
    <row r="4">
      <c r="A4" s="13" t="inlineStr"/>
      <c r="B4" s="18" t="inlineStr">
        <is>
          <t>Unit</t>
        </is>
      </c>
      <c r="C4" s="18" t="inlineStr">
        <is>
          <t>Jun-26A</t>
        </is>
      </c>
      <c r="D4" s="18" t="inlineStr">
        <is>
          <t>Q3'26E</t>
        </is>
      </c>
      <c r="E4" s="18" t="inlineStr">
        <is>
          <t>Q4'26E</t>
        </is>
      </c>
      <c r="F4" s="18" t="inlineStr">
        <is>
          <t>Q1'27E</t>
        </is>
      </c>
      <c r="G4" s="18" t="inlineStr">
        <is>
          <t>Q2'27E</t>
        </is>
      </c>
      <c r="H4" s="18" t="inlineStr">
        <is>
          <t>Q3'27E</t>
        </is>
      </c>
      <c r="I4" s="18" t="inlineStr">
        <is>
          <t>Q4'27E</t>
        </is>
      </c>
      <c r="J4" s="18" t="inlineStr">
        <is>
          <t>FY2028E</t>
        </is>
      </c>
      <c r="K4" s="18" t="inlineStr">
        <is>
          <t>FY2029E</t>
        </is>
      </c>
      <c r="L4" s="18" t="inlineStr"/>
      <c r="M4" s="31" t="inlineStr"/>
      <c r="N4" s="18" t="inlineStr">
        <is>
          <t>FY2026E</t>
        </is>
      </c>
      <c r="O4" s="18" t="inlineStr">
        <is>
          <t>FY2027E</t>
        </is>
      </c>
      <c r="P4" s="18" t="inlineStr">
        <is>
          <t>FY2028E</t>
        </is>
      </c>
      <c r="Q4" s="18" t="inlineStr">
        <is>
          <t>FY2029E</t>
        </is>
      </c>
      <c r="R4" s="13" t="inlineStr">
        <is>
          <t>Basis / note</t>
        </is>
      </c>
    </row>
    <row r="5">
      <c r="A5" s="5" t="inlineStr">
        <is>
          <t>Cash &amp; equivalents</t>
        </is>
      </c>
      <c r="C5" s="29">
        <f>'Inputs &amp; Sources'!$B$82</f>
        <v/>
      </c>
      <c r="D5" s="29">
        <f>'Cash Flow'!D25</f>
        <v/>
      </c>
      <c r="E5" s="29">
        <f>'Cash Flow'!E25</f>
        <v/>
      </c>
      <c r="F5" s="29">
        <f>'Cash Flow'!F25</f>
        <v/>
      </c>
      <c r="G5" s="29">
        <f>'Cash Flow'!G25</f>
        <v/>
      </c>
      <c r="H5" s="29">
        <f>'Cash Flow'!H25</f>
        <v/>
      </c>
      <c r="I5" s="29">
        <f>'Cash Flow'!I25</f>
        <v/>
      </c>
      <c r="J5" s="29">
        <f>'Cash Flow'!J25</f>
        <v/>
      </c>
      <c r="K5" s="29">
        <f>'Cash Flow'!K25</f>
        <v/>
      </c>
      <c r="N5" s="29">
        <f>E5</f>
        <v/>
      </c>
      <c r="O5" s="29">
        <f>I5</f>
        <v/>
      </c>
      <c r="P5" s="29">
        <f>J5</f>
        <v/>
      </c>
      <c r="Q5" s="29">
        <f>K5</f>
        <v/>
      </c>
      <c r="R5" s="7" t="inlineStr"/>
    </row>
    <row r="6">
      <c r="A6" s="5" t="inlineStr">
        <is>
          <t>Accounts receivable</t>
        </is>
      </c>
      <c r="C6" s="29">
        <f>'Inputs &amp; Sources'!$B$83</f>
        <v/>
      </c>
      <c r="D6" s="29">
        <f>('Income Statement'!D7-'Capex &amp; Funding'!D13)*'Drivers'!D48/'Drivers'!D9</f>
        <v/>
      </c>
      <c r="E6" s="29">
        <f>('Income Statement'!E7-'Capex &amp; Funding'!E13)*'Drivers'!E48/'Drivers'!E9</f>
        <v/>
      </c>
      <c r="F6" s="29">
        <f>('Income Statement'!F7-'Capex &amp; Funding'!F13)*'Drivers'!F48/'Drivers'!F9</f>
        <v/>
      </c>
      <c r="G6" s="29">
        <f>('Income Statement'!G7-'Capex &amp; Funding'!G13)*'Drivers'!G48/'Drivers'!G9</f>
        <v/>
      </c>
      <c r="H6" s="29">
        <f>('Income Statement'!H7-'Capex &amp; Funding'!H13)*'Drivers'!H48/'Drivers'!H9</f>
        <v/>
      </c>
      <c r="I6" s="29">
        <f>('Income Statement'!I7-'Capex &amp; Funding'!I13)*'Drivers'!I48/'Drivers'!I9</f>
        <v/>
      </c>
      <c r="J6" s="29">
        <f>('Income Statement'!J7-'Capex &amp; Funding'!J13)*'Drivers'!J48/'Drivers'!J9</f>
        <v/>
      </c>
      <c r="K6" s="29">
        <f>('Income Statement'!K7-'Capex &amp; Funding'!K13)*'Drivers'!K48/'Drivers'!K9</f>
        <v/>
      </c>
      <c r="N6" s="29">
        <f>E6</f>
        <v/>
      </c>
      <c r="O6" s="29">
        <f>I6</f>
        <v/>
      </c>
      <c r="P6" s="29">
        <f>J6</f>
        <v/>
      </c>
      <c r="Q6" s="29">
        <f>K6</f>
        <v/>
      </c>
      <c r="R6" s="7" t="inlineStr">
        <is>
          <t>(Revenue - prepaid revenue recognized) x DSO / days.</t>
        </is>
      </c>
    </row>
    <row r="7">
      <c r="A7" s="5" t="inlineStr">
        <is>
          <t>Other current assets (held flat)</t>
        </is>
      </c>
      <c r="C7" s="29">
        <f>'Inputs &amp; Sources'!$B$84</f>
        <v/>
      </c>
      <c r="D7" s="29">
        <f>C7</f>
        <v/>
      </c>
      <c r="E7" s="29">
        <f>D7</f>
        <v/>
      </c>
      <c r="F7" s="29">
        <f>E7</f>
        <v/>
      </c>
      <c r="G7" s="29">
        <f>F7</f>
        <v/>
      </c>
      <c r="H7" s="29">
        <f>G7</f>
        <v/>
      </c>
      <c r="I7" s="29">
        <f>H7</f>
        <v/>
      </c>
      <c r="J7" s="29">
        <f>I7</f>
        <v/>
      </c>
      <c r="K7" s="29">
        <f>J7</f>
        <v/>
      </c>
      <c r="N7" s="29">
        <f>E7</f>
        <v/>
      </c>
      <c r="O7" s="29">
        <f>I7</f>
        <v/>
      </c>
      <c r="P7" s="29">
        <f>J7</f>
        <v/>
      </c>
      <c r="Q7" s="29">
        <f>K7</f>
        <v/>
      </c>
      <c r="R7" s="7" t="inlineStr"/>
    </row>
    <row r="8">
      <c r="A8" s="5" t="inlineStr">
        <is>
          <t>Property &amp; equipment, net</t>
        </is>
      </c>
      <c r="C8" s="29">
        <f>'Capex &amp; Funding'!C9</f>
        <v/>
      </c>
      <c r="D8" s="29">
        <f>'Capex &amp; Funding'!D9</f>
        <v/>
      </c>
      <c r="E8" s="29">
        <f>'Capex &amp; Funding'!E9</f>
        <v/>
      </c>
      <c r="F8" s="29">
        <f>'Capex &amp; Funding'!F9</f>
        <v/>
      </c>
      <c r="G8" s="29">
        <f>'Capex &amp; Funding'!G9</f>
        <v/>
      </c>
      <c r="H8" s="29">
        <f>'Capex &amp; Funding'!H9</f>
        <v/>
      </c>
      <c r="I8" s="29">
        <f>'Capex &amp; Funding'!I9</f>
        <v/>
      </c>
      <c r="J8" s="29">
        <f>'Capex &amp; Funding'!J9</f>
        <v/>
      </c>
      <c r="K8" s="29">
        <f>'Capex &amp; Funding'!K9</f>
        <v/>
      </c>
      <c r="N8" s="29">
        <f>E8</f>
        <v/>
      </c>
      <c r="O8" s="29">
        <f>I8</f>
        <v/>
      </c>
      <c r="P8" s="29">
        <f>J8</f>
        <v/>
      </c>
      <c r="Q8" s="29">
        <f>K8</f>
        <v/>
      </c>
      <c r="R8" s="7" t="inlineStr"/>
    </row>
    <row r="9">
      <c r="A9" s="5" t="inlineStr">
        <is>
          <t>Goodwill &amp; intangibles (held flat)</t>
        </is>
      </c>
      <c r="C9" s="29">
        <f>'Inputs &amp; Sources'!$B$86</f>
        <v/>
      </c>
      <c r="D9" s="29">
        <f>C9</f>
        <v/>
      </c>
      <c r="E9" s="29">
        <f>D9</f>
        <v/>
      </c>
      <c r="F9" s="29">
        <f>E9</f>
        <v/>
      </c>
      <c r="G9" s="29">
        <f>F9</f>
        <v/>
      </c>
      <c r="H9" s="29">
        <f>G9</f>
        <v/>
      </c>
      <c r="I9" s="29">
        <f>H9</f>
        <v/>
      </c>
      <c r="J9" s="29">
        <f>I9</f>
        <v/>
      </c>
      <c r="K9" s="29">
        <f>J9</f>
        <v/>
      </c>
      <c r="N9" s="29">
        <f>E9</f>
        <v/>
      </c>
      <c r="O9" s="29">
        <f>I9</f>
        <v/>
      </c>
      <c r="P9" s="29">
        <f>J9</f>
        <v/>
      </c>
      <c r="Q9" s="29">
        <f>K9</f>
        <v/>
      </c>
      <c r="R9" s="7" t="inlineStr"/>
    </row>
    <row r="10">
      <c r="A10" s="5" t="inlineStr">
        <is>
          <t>Operating lease ROU assets (held flat)</t>
        </is>
      </c>
      <c r="C10" s="29">
        <f>'Inputs &amp; Sources'!$B$87</f>
        <v/>
      </c>
      <c r="D10" s="29">
        <f>C10</f>
        <v/>
      </c>
      <c r="E10" s="29">
        <f>D10</f>
        <v/>
      </c>
      <c r="F10" s="29">
        <f>E10</f>
        <v/>
      </c>
      <c r="G10" s="29">
        <f>F10</f>
        <v/>
      </c>
      <c r="H10" s="29">
        <f>G10</f>
        <v/>
      </c>
      <c r="I10" s="29">
        <f>H10</f>
        <v/>
      </c>
      <c r="J10" s="29">
        <f>I10</f>
        <v/>
      </c>
      <c r="K10" s="29">
        <f>J10</f>
        <v/>
      </c>
      <c r="N10" s="29">
        <f>E10</f>
        <v/>
      </c>
      <c r="O10" s="29">
        <f>I10</f>
        <v/>
      </c>
      <c r="P10" s="29">
        <f>J10</f>
        <v/>
      </c>
      <c r="Q10" s="29">
        <f>K10</f>
        <v/>
      </c>
      <c r="R10" s="7" t="inlineStr"/>
    </row>
    <row r="11">
      <c r="A11" s="5" t="inlineStr">
        <is>
          <t>Investments (held at carrying value)</t>
        </is>
      </c>
      <c r="C11" s="29">
        <f>'Inputs &amp; Sources'!$B$88</f>
        <v/>
      </c>
      <c r="D11" s="29">
        <f>C11</f>
        <v/>
      </c>
      <c r="E11" s="29">
        <f>D11</f>
        <v/>
      </c>
      <c r="F11" s="29">
        <f>E11</f>
        <v/>
      </c>
      <c r="G11" s="29">
        <f>F11</f>
        <v/>
      </c>
      <c r="H11" s="29">
        <f>G11</f>
        <v/>
      </c>
      <c r="I11" s="29">
        <f>H11</f>
        <v/>
      </c>
      <c r="J11" s="29">
        <f>I11</f>
        <v/>
      </c>
      <c r="K11" s="29">
        <f>J11</f>
        <v/>
      </c>
      <c r="N11" s="29">
        <f>E11</f>
        <v/>
      </c>
      <c r="O11" s="29">
        <f>I11</f>
        <v/>
      </c>
      <c r="P11" s="29">
        <f>J11</f>
        <v/>
      </c>
      <c r="Q11" s="29">
        <f>K11</f>
        <v/>
      </c>
      <c r="R11" s="7" t="inlineStr"/>
    </row>
    <row r="12">
      <c r="A12" s="5" t="inlineStr">
        <is>
          <t>Other non-current assets (held flat)</t>
        </is>
      </c>
      <c r="C12" s="29">
        <f>'Inputs &amp; Sources'!$B$89</f>
        <v/>
      </c>
      <c r="D12" s="29">
        <f>C12</f>
        <v/>
      </c>
      <c r="E12" s="29">
        <f>D12</f>
        <v/>
      </c>
      <c r="F12" s="29">
        <f>E12</f>
        <v/>
      </c>
      <c r="G12" s="29">
        <f>F12</f>
        <v/>
      </c>
      <c r="H12" s="29">
        <f>G12</f>
        <v/>
      </c>
      <c r="I12" s="29">
        <f>H12</f>
        <v/>
      </c>
      <c r="J12" s="29">
        <f>I12</f>
        <v/>
      </c>
      <c r="K12" s="29">
        <f>J12</f>
        <v/>
      </c>
      <c r="N12" s="29">
        <f>E12</f>
        <v/>
      </c>
      <c r="O12" s="29">
        <f>I12</f>
        <v/>
      </c>
      <c r="P12" s="29">
        <f>J12</f>
        <v/>
      </c>
      <c r="Q12" s="29">
        <f>K12</f>
        <v/>
      </c>
      <c r="R12" s="7" t="inlineStr"/>
    </row>
    <row r="13">
      <c r="A13" s="8" t="inlineStr">
        <is>
          <t>Total assets</t>
        </is>
      </c>
      <c r="C13" s="28">
        <f>SUM(C5:C12)</f>
        <v/>
      </c>
      <c r="D13" s="28">
        <f>SUM(D5:D12)</f>
        <v/>
      </c>
      <c r="E13" s="28">
        <f>SUM(E5:E12)</f>
        <v/>
      </c>
      <c r="F13" s="28">
        <f>SUM(F5:F12)</f>
        <v/>
      </c>
      <c r="G13" s="28">
        <f>SUM(G5:G12)</f>
        <v/>
      </c>
      <c r="H13" s="28">
        <f>SUM(H5:H12)</f>
        <v/>
      </c>
      <c r="I13" s="28">
        <f>SUM(I5:I12)</f>
        <v/>
      </c>
      <c r="J13" s="28">
        <f>SUM(J5:J12)</f>
        <v/>
      </c>
      <c r="K13" s="28">
        <f>SUM(K5:K12)</f>
        <v/>
      </c>
      <c r="N13" s="28">
        <f>SUM(N5:N12)</f>
        <v/>
      </c>
      <c r="O13" s="28">
        <f>SUM(O5:O12)</f>
        <v/>
      </c>
      <c r="P13" s="28">
        <f>SUM(P5:P12)</f>
        <v/>
      </c>
      <c r="Q13" s="28">
        <f>SUM(Q5:Q12)</f>
        <v/>
      </c>
      <c r="R13" s="7" t="inlineStr"/>
    </row>
    <row r="14"/>
    <row r="15">
      <c r="A15" s="5" t="inlineStr">
        <is>
          <t>AP, accrued &amp; taxes payable</t>
        </is>
      </c>
      <c r="C15" s="29">
        <f>'Inputs &amp; Sources'!$B$90</f>
        <v/>
      </c>
      <c r="D15" s="29">
        <f>(-'Income Statement'!D9-'Income Statement'!D10+'Capex &amp; Funding'!D6)*'Drivers'!D49/'Drivers'!D9</f>
        <v/>
      </c>
      <c r="E15" s="29">
        <f>(-'Income Statement'!E9-'Income Statement'!E10+'Capex &amp; Funding'!E6)*'Drivers'!E49/'Drivers'!E9</f>
        <v/>
      </c>
      <c r="F15" s="29">
        <f>(-'Income Statement'!F9-'Income Statement'!F10+'Capex &amp; Funding'!F6)*'Drivers'!F49/'Drivers'!F9</f>
        <v/>
      </c>
      <c r="G15" s="29">
        <f>(-'Income Statement'!G9-'Income Statement'!G10+'Capex &amp; Funding'!G6)*'Drivers'!G49/'Drivers'!G9</f>
        <v/>
      </c>
      <c r="H15" s="29">
        <f>(-'Income Statement'!H9-'Income Statement'!H10+'Capex &amp; Funding'!H6)*'Drivers'!H49/'Drivers'!H9</f>
        <v/>
      </c>
      <c r="I15" s="29">
        <f>(-'Income Statement'!I9-'Income Statement'!I10+'Capex &amp; Funding'!I6)*'Drivers'!I49/'Drivers'!I9</f>
        <v/>
      </c>
      <c r="J15" s="29">
        <f>(-'Income Statement'!J9-'Income Statement'!J10+'Capex &amp; Funding'!J6)*'Drivers'!J49/'Drivers'!J9</f>
        <v/>
      </c>
      <c r="K15" s="29">
        <f>(-'Income Statement'!K9-'Income Statement'!K10+'Capex &amp; Funding'!K6)*'Drivers'!K49/'Drivers'!K9</f>
        <v/>
      </c>
      <c r="N15" s="29">
        <f>E15</f>
        <v/>
      </c>
      <c r="O15" s="29">
        <f>I15</f>
        <v/>
      </c>
      <c r="P15" s="29">
        <f>J15</f>
        <v/>
      </c>
      <c r="Q15" s="29">
        <f>K15</f>
        <v/>
      </c>
      <c r="R15" s="7" t="inlineStr">
        <is>
          <t>(Cash costs + capex) x AP days / days.</t>
        </is>
      </c>
    </row>
    <row r="16">
      <c r="A16" s="5" t="inlineStr">
        <is>
          <t>Deferred revenue (customer prepayments)</t>
        </is>
      </c>
      <c r="C16" s="29">
        <f>'Capex &amp; Funding'!C14</f>
        <v/>
      </c>
      <c r="D16" s="29">
        <f>'Capex &amp; Funding'!D14</f>
        <v/>
      </c>
      <c r="E16" s="29">
        <f>'Capex &amp; Funding'!E14</f>
        <v/>
      </c>
      <c r="F16" s="29">
        <f>'Capex &amp; Funding'!F14</f>
        <v/>
      </c>
      <c r="G16" s="29">
        <f>'Capex &amp; Funding'!G14</f>
        <v/>
      </c>
      <c r="H16" s="29">
        <f>'Capex &amp; Funding'!H14</f>
        <v/>
      </c>
      <c r="I16" s="29">
        <f>'Capex &amp; Funding'!I14</f>
        <v/>
      </c>
      <c r="J16" s="29">
        <f>'Capex &amp; Funding'!J14</f>
        <v/>
      </c>
      <c r="K16" s="29">
        <f>'Capex &amp; Funding'!K14</f>
        <v/>
      </c>
      <c r="N16" s="29">
        <f>E16</f>
        <v/>
      </c>
      <c r="O16" s="29">
        <f>I16</f>
        <v/>
      </c>
      <c r="P16" s="29">
        <f>J16</f>
        <v/>
      </c>
      <c r="Q16" s="29">
        <f>K16</f>
        <v/>
      </c>
      <c r="R16" s="7" t="inlineStr"/>
    </row>
    <row r="17">
      <c r="A17" s="5" t="inlineStr">
        <is>
          <t>Debt (carrying)</t>
        </is>
      </c>
      <c r="C17" s="29">
        <f>'Capex &amp; Funding'!C24</f>
        <v/>
      </c>
      <c r="D17" s="29">
        <f>'Capex &amp; Funding'!D24</f>
        <v/>
      </c>
      <c r="E17" s="29">
        <f>'Capex &amp; Funding'!E24</f>
        <v/>
      </c>
      <c r="F17" s="29">
        <f>'Capex &amp; Funding'!F24</f>
        <v/>
      </c>
      <c r="G17" s="29">
        <f>'Capex &amp; Funding'!G24</f>
        <v/>
      </c>
      <c r="H17" s="29">
        <f>'Capex &amp; Funding'!H24</f>
        <v/>
      </c>
      <c r="I17" s="29">
        <f>'Capex &amp; Funding'!I24</f>
        <v/>
      </c>
      <c r="J17" s="29">
        <f>'Capex &amp; Funding'!J24</f>
        <v/>
      </c>
      <c r="K17" s="29">
        <f>'Capex &amp; Funding'!K24</f>
        <v/>
      </c>
      <c r="N17" s="29">
        <f>E17</f>
        <v/>
      </c>
      <c r="O17" s="29">
        <f>I17</f>
        <v/>
      </c>
      <c r="P17" s="29">
        <f>J17</f>
        <v/>
      </c>
      <c r="Q17" s="29">
        <f>K17</f>
        <v/>
      </c>
      <c r="R17" s="7" t="inlineStr"/>
    </row>
    <row r="18">
      <c r="A18" s="5" t="inlineStr">
        <is>
          <t>Operating lease liabilities (held flat)</t>
        </is>
      </c>
      <c r="C18" s="29">
        <f>'Inputs &amp; Sources'!$B$93</f>
        <v/>
      </c>
      <c r="D18" s="29">
        <f>C18</f>
        <v/>
      </c>
      <c r="E18" s="29">
        <f>D18</f>
        <v/>
      </c>
      <c r="F18" s="29">
        <f>E18</f>
        <v/>
      </c>
      <c r="G18" s="29">
        <f>F18</f>
        <v/>
      </c>
      <c r="H18" s="29">
        <f>G18</f>
        <v/>
      </c>
      <c r="I18" s="29">
        <f>H18</f>
        <v/>
      </c>
      <c r="J18" s="29">
        <f>I18</f>
        <v/>
      </c>
      <c r="K18" s="29">
        <f>J18</f>
        <v/>
      </c>
      <c r="N18" s="29">
        <f>E18</f>
        <v/>
      </c>
      <c r="O18" s="29">
        <f>I18</f>
        <v/>
      </c>
      <c r="P18" s="29">
        <f>J18</f>
        <v/>
      </c>
      <c r="Q18" s="29">
        <f>K18</f>
        <v/>
      </c>
      <c r="R18" s="7" t="inlineStr"/>
    </row>
    <row r="19">
      <c r="A19" s="5" t="inlineStr">
        <is>
          <t>Other non-current liabilities (held flat)</t>
        </is>
      </c>
      <c r="C19" s="29">
        <f>'Inputs &amp; Sources'!$B$94</f>
        <v/>
      </c>
      <c r="D19" s="29">
        <f>C19</f>
        <v/>
      </c>
      <c r="E19" s="29">
        <f>D19</f>
        <v/>
      </c>
      <c r="F19" s="29">
        <f>E19</f>
        <v/>
      </c>
      <c r="G19" s="29">
        <f>F19</f>
        <v/>
      </c>
      <c r="H19" s="29">
        <f>G19</f>
        <v/>
      </c>
      <c r="I19" s="29">
        <f>H19</f>
        <v/>
      </c>
      <c r="J19" s="29">
        <f>I19</f>
        <v/>
      </c>
      <c r="K19" s="29">
        <f>J19</f>
        <v/>
      </c>
      <c r="N19" s="29">
        <f>E19</f>
        <v/>
      </c>
      <c r="O19" s="29">
        <f>I19</f>
        <v/>
      </c>
      <c r="P19" s="29">
        <f>J19</f>
        <v/>
      </c>
      <c r="Q19" s="29">
        <f>K19</f>
        <v/>
      </c>
      <c r="R19" s="7" t="inlineStr"/>
    </row>
    <row r="20">
      <c r="A20" s="8" t="inlineStr">
        <is>
          <t>Total liabilities</t>
        </is>
      </c>
      <c r="C20" s="28">
        <f>SUM(C15:C19)</f>
        <v/>
      </c>
      <c r="D20" s="28">
        <f>SUM(D15:D19)</f>
        <v/>
      </c>
      <c r="E20" s="28">
        <f>SUM(E15:E19)</f>
        <v/>
      </c>
      <c r="F20" s="28">
        <f>SUM(F15:F19)</f>
        <v/>
      </c>
      <c r="G20" s="28">
        <f>SUM(G15:G19)</f>
        <v/>
      </c>
      <c r="H20" s="28">
        <f>SUM(H15:H19)</f>
        <v/>
      </c>
      <c r="I20" s="28">
        <f>SUM(I15:I19)</f>
        <v/>
      </c>
      <c r="J20" s="28">
        <f>SUM(J15:J19)</f>
        <v/>
      </c>
      <c r="K20" s="28">
        <f>SUM(K15:K19)</f>
        <v/>
      </c>
      <c r="N20" s="28">
        <f>SUM(N15:N19)</f>
        <v/>
      </c>
      <c r="O20" s="28">
        <f>SUM(O15:O19)</f>
        <v/>
      </c>
      <c r="P20" s="28">
        <f>SUM(P15:P19)</f>
        <v/>
      </c>
      <c r="Q20" s="28">
        <f>SUM(Q15:Q19)</f>
        <v/>
      </c>
      <c r="R20" s="7" t="inlineStr"/>
    </row>
    <row r="21">
      <c r="A21" s="8" t="inlineStr">
        <is>
          <t>Shareholders' equity</t>
        </is>
      </c>
      <c r="C21" s="28">
        <f>'Inputs &amp; Sources'!$B$95</f>
        <v/>
      </c>
      <c r="D21" s="28">
        <f>C21+'Income Statement'!D22-'Income Statement'!D13+'Capex &amp; Funding'!D35+'Drivers'!D59</f>
        <v/>
      </c>
      <c r="E21" s="28">
        <f>D21+'Income Statement'!E22-'Income Statement'!E13+'Capex &amp; Funding'!E35+'Drivers'!E59</f>
        <v/>
      </c>
      <c r="F21" s="28">
        <f>E21+'Income Statement'!F22-'Income Statement'!F13+'Capex &amp; Funding'!F35+'Drivers'!F59</f>
        <v/>
      </c>
      <c r="G21" s="28">
        <f>F21+'Income Statement'!G22-'Income Statement'!G13+'Capex &amp; Funding'!G35+'Drivers'!G59</f>
        <v/>
      </c>
      <c r="H21" s="28">
        <f>G21+'Income Statement'!H22-'Income Statement'!H13+'Capex &amp; Funding'!H35+'Drivers'!H59</f>
        <v/>
      </c>
      <c r="I21" s="28">
        <f>H21+'Income Statement'!I22-'Income Statement'!I13+'Capex &amp; Funding'!I35+'Drivers'!I59</f>
        <v/>
      </c>
      <c r="J21" s="28">
        <f>I21+'Income Statement'!J22-'Income Statement'!J13+'Capex &amp; Funding'!J35+'Drivers'!J59</f>
        <v/>
      </c>
      <c r="K21" s="28">
        <f>J21+'Income Statement'!K22-'Income Statement'!K13+'Capex &amp; Funding'!K35+'Drivers'!K59</f>
        <v/>
      </c>
      <c r="N21" s="29">
        <f>E21</f>
        <v/>
      </c>
      <c r="O21" s="29">
        <f>I21</f>
        <v/>
      </c>
      <c r="P21" s="29">
        <f>J21</f>
        <v/>
      </c>
      <c r="Q21" s="29">
        <f>K21</f>
        <v/>
      </c>
      <c r="R21" s="7" t="inlineStr">
        <is>
          <t>Prior + net income + SBC + new equity + converts exchanged.</t>
        </is>
      </c>
    </row>
    <row r="22">
      <c r="A22" s="8" t="inlineStr">
        <is>
          <t>Total liabilities &amp; equity</t>
        </is>
      </c>
      <c r="C22" s="28">
        <f>C20+C21</f>
        <v/>
      </c>
      <c r="D22" s="28">
        <f>D20+D21</f>
        <v/>
      </c>
      <c r="E22" s="28">
        <f>E20+E21</f>
        <v/>
      </c>
      <c r="F22" s="28">
        <f>F20+F21</f>
        <v/>
      </c>
      <c r="G22" s="28">
        <f>G20+G21</f>
        <v/>
      </c>
      <c r="H22" s="28">
        <f>H20+H21</f>
        <v/>
      </c>
      <c r="I22" s="28">
        <f>I20+I21</f>
        <v/>
      </c>
      <c r="J22" s="28">
        <f>J20+J21</f>
        <v/>
      </c>
      <c r="K22" s="28">
        <f>K20+K21</f>
        <v/>
      </c>
      <c r="N22" s="28">
        <f>N20+N21</f>
        <v/>
      </c>
      <c r="O22" s="28">
        <f>O20+O21</f>
        <v/>
      </c>
      <c r="P22" s="28">
        <f>P20+P21</f>
        <v/>
      </c>
      <c r="Q22" s="28">
        <f>Q20+Q21</f>
        <v/>
      </c>
      <c r="R22" s="7" t="inlineStr"/>
    </row>
    <row r="23"/>
    <row r="24">
      <c r="A24" s="8" t="inlineStr">
        <is>
          <t>BALANCE CHECK (assets - liabilities - equity)</t>
        </is>
      </c>
      <c r="C24" s="32">
        <f>ROUND(C13-C22,3)</f>
        <v/>
      </c>
      <c r="D24" s="32">
        <f>ROUND(D13-D22,3)</f>
        <v/>
      </c>
      <c r="E24" s="32">
        <f>ROUND(E13-E22,3)</f>
        <v/>
      </c>
      <c r="F24" s="32">
        <f>ROUND(F13-F22,3)</f>
        <v/>
      </c>
      <c r="G24" s="32">
        <f>ROUND(G13-G22,3)</f>
        <v/>
      </c>
      <c r="H24" s="32">
        <f>ROUND(H13-H22,3)</f>
        <v/>
      </c>
      <c r="I24" s="32">
        <f>ROUND(I13-I22,3)</f>
        <v/>
      </c>
      <c r="J24" s="32">
        <f>ROUND(J13-J22,3)</f>
        <v/>
      </c>
      <c r="K24" s="32">
        <f>ROUND(K13-K22,3)</f>
        <v/>
      </c>
      <c r="N24" s="32">
        <f>ROUND(N13-N22,3)</f>
        <v/>
      </c>
      <c r="O24" s="32">
        <f>ROUND(O13-O22,3)</f>
        <v/>
      </c>
      <c r="P24" s="32">
        <f>ROUND(P13-P22,3)</f>
        <v/>
      </c>
      <c r="Q24" s="32">
        <f>ROUND(Q13-Q22,3)</f>
        <v/>
      </c>
      <c r="R24" s="7" t="inlineStr"/>
    </row>
    <row r="25"/>
    <row r="26">
      <c r="A26" s="5" t="inlineStr">
        <is>
          <t>Memo: net debt (debt - cash)</t>
        </is>
      </c>
      <c r="C26" s="29">
        <f>C17-C5</f>
        <v/>
      </c>
      <c r="D26" s="29">
        <f>D17-D5</f>
        <v/>
      </c>
      <c r="E26" s="29">
        <f>E17-E5</f>
        <v/>
      </c>
      <c r="F26" s="29">
        <f>F17-F5</f>
        <v/>
      </c>
      <c r="G26" s="29">
        <f>G17-G5</f>
        <v/>
      </c>
      <c r="H26" s="29">
        <f>H17-H5</f>
        <v/>
      </c>
      <c r="I26" s="29">
        <f>I17-I5</f>
        <v/>
      </c>
      <c r="J26" s="29">
        <f>J17-J5</f>
        <v/>
      </c>
      <c r="K26" s="29">
        <f>K17-K5</f>
        <v/>
      </c>
      <c r="N26" s="29">
        <f>N17-N5</f>
        <v/>
      </c>
      <c r="O26" s="29">
        <f>O17-O5</f>
        <v/>
      </c>
      <c r="P26" s="29">
        <f>P17-P5</f>
        <v/>
      </c>
      <c r="Q26" s="29">
        <f>Q17-Q5</f>
        <v/>
      </c>
      <c r="R26" s="7" t="inlineStr"/>
    </row>
    <row r="27">
      <c r="A27" s="5" t="inlineStr">
        <is>
          <t>Memo: net debt / annualized adj. EBITDA</t>
        </is>
      </c>
      <c r="D27" s="30">
        <f>D26/('Income Statement'!D11/'Drivers'!D7)</f>
        <v/>
      </c>
      <c r="E27" s="30">
        <f>E26/('Income Statement'!E11/'Drivers'!E7)</f>
        <v/>
      </c>
      <c r="F27" s="30">
        <f>F26/('Income Statement'!F11/'Drivers'!F7)</f>
        <v/>
      </c>
      <c r="G27" s="30">
        <f>G26/('Income Statement'!G11/'Drivers'!G7)</f>
        <v/>
      </c>
      <c r="H27" s="30">
        <f>H26/('Income Statement'!H11/'Drivers'!H7)</f>
        <v/>
      </c>
      <c r="I27" s="30">
        <f>I26/('Income Statement'!I11/'Drivers'!I7)</f>
        <v/>
      </c>
      <c r="J27" s="30">
        <f>J26/('Income Statement'!J11/'Drivers'!J7)</f>
        <v/>
      </c>
      <c r="K27" s="30">
        <f>K26/('Income Statement'!K11/'Drivers'!K7)</f>
        <v/>
      </c>
      <c r="R27" s="7" t="inlineStr">
        <is>
          <t>Quarterly EBITDA x4.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2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" customWidth="1" min="13" max="13"/>
    <col width="11" customWidth="1" min="14" max="14"/>
    <col width="11" customWidth="1" min="15" max="15"/>
    <col width="11" customWidth="1" min="16" max="16"/>
    <col width="11" customWidth="1" min="17" max="17"/>
    <col width="70" customWidth="1" min="18" max="18"/>
  </cols>
  <sheetData>
    <row r="1">
      <c r="A1" s="1" t="inlineStr">
        <is>
          <t>Cash Flow</t>
        </is>
      </c>
    </row>
    <row r="2">
      <c r="A2" s="2" t="inlineStr">
        <is>
          <t>$M. Indirect method. FY2026E summary = H1'26 actual (condensed) + Q3E + Q4E.</t>
        </is>
      </c>
    </row>
    <row r="3"/>
    <row r="4">
      <c r="A4" s="13" t="inlineStr"/>
      <c r="B4" s="18" t="inlineStr">
        <is>
          <t>Unit</t>
        </is>
      </c>
      <c r="C4" s="18" t="inlineStr"/>
      <c r="D4" s="18" t="inlineStr">
        <is>
          <t>Q3'26E</t>
        </is>
      </c>
      <c r="E4" s="18" t="inlineStr">
        <is>
          <t>Q4'26E</t>
        </is>
      </c>
      <c r="F4" s="18" t="inlineStr">
        <is>
          <t>Q1'27E</t>
        </is>
      </c>
      <c r="G4" s="18" t="inlineStr">
        <is>
          <t>Q2'27E</t>
        </is>
      </c>
      <c r="H4" s="18" t="inlineStr">
        <is>
          <t>Q3'27E</t>
        </is>
      </c>
      <c r="I4" s="18" t="inlineStr">
        <is>
          <t>Q4'27E</t>
        </is>
      </c>
      <c r="J4" s="18" t="inlineStr">
        <is>
          <t>FY2028E</t>
        </is>
      </c>
      <c r="K4" s="18" t="inlineStr">
        <is>
          <t>FY2029E</t>
        </is>
      </c>
      <c r="L4" s="18" t="inlineStr"/>
      <c r="M4" s="31" t="inlineStr"/>
      <c r="N4" s="18" t="inlineStr">
        <is>
          <t>FY2026E</t>
        </is>
      </c>
      <c r="O4" s="18" t="inlineStr">
        <is>
          <t>FY2027E</t>
        </is>
      </c>
      <c r="P4" s="18" t="inlineStr">
        <is>
          <t>FY2028E</t>
        </is>
      </c>
      <c r="Q4" s="18" t="inlineStr">
        <is>
          <t>FY2029E</t>
        </is>
      </c>
      <c r="R4" s="13" t="inlineStr">
        <is>
          <t>Basis / note</t>
        </is>
      </c>
    </row>
    <row r="5">
      <c r="A5" s="5" t="inlineStr">
        <is>
          <t>Net income</t>
        </is>
      </c>
      <c r="D5" s="29">
        <f>'Income Statement'!D22</f>
        <v/>
      </c>
      <c r="E5" s="29">
        <f>'Income Statement'!E22</f>
        <v/>
      </c>
      <c r="F5" s="29">
        <f>'Income Statement'!F22</f>
        <v/>
      </c>
      <c r="G5" s="29">
        <f>'Income Statement'!G22</f>
        <v/>
      </c>
      <c r="H5" s="29">
        <f>'Income Statement'!H22</f>
        <v/>
      </c>
      <c r="I5" s="29">
        <f>'Income Statement'!I22</f>
        <v/>
      </c>
      <c r="J5" s="29">
        <f>'Income Statement'!J22</f>
        <v/>
      </c>
      <c r="K5" s="29">
        <f>'Income Statement'!K22</f>
        <v/>
      </c>
      <c r="N5" s="29">
        <f>('Inputs &amp; Sources'!$F$66+'Inputs &amp; Sources'!$G$66)+D5+E5</f>
        <v/>
      </c>
      <c r="O5" s="29">
        <f>SUM(F5:I5)</f>
        <v/>
      </c>
      <c r="P5" s="29">
        <f>J5</f>
        <v/>
      </c>
      <c r="Q5" s="29">
        <f>K5</f>
        <v/>
      </c>
      <c r="R5" s="7" t="inlineStr"/>
    </row>
    <row r="6">
      <c r="A6" s="5" t="inlineStr">
        <is>
          <t>D&amp;A</t>
        </is>
      </c>
      <c r="D6" s="29">
        <f>'Capex &amp; Funding'!D8</f>
        <v/>
      </c>
      <c r="E6" s="29">
        <f>'Capex &amp; Funding'!E8</f>
        <v/>
      </c>
      <c r="F6" s="29">
        <f>'Capex &amp; Funding'!F8</f>
        <v/>
      </c>
      <c r="G6" s="29">
        <f>'Capex &amp; Funding'!G8</f>
        <v/>
      </c>
      <c r="H6" s="29">
        <f>'Capex &amp; Funding'!H8</f>
        <v/>
      </c>
      <c r="I6" s="29">
        <f>'Capex &amp; Funding'!I8</f>
        <v/>
      </c>
      <c r="J6" s="29">
        <f>'Capex &amp; Funding'!J8</f>
        <v/>
      </c>
      <c r="K6" s="29">
        <f>'Capex &amp; Funding'!K8</f>
        <v/>
      </c>
      <c r="N6" s="29">
        <f>('Inputs &amp; Sources'!$F$60+'Inputs &amp; Sources'!$G$60)+D6+E6</f>
        <v/>
      </c>
      <c r="O6" s="29">
        <f>SUM(F6:I6)</f>
        <v/>
      </c>
      <c r="P6" s="29">
        <f>J6</f>
        <v/>
      </c>
      <c r="Q6" s="29">
        <f>K6</f>
        <v/>
      </c>
      <c r="R6" s="7" t="inlineStr"/>
    </row>
    <row r="7">
      <c r="A7" s="5" t="inlineStr">
        <is>
          <t>Share-based compensation</t>
        </is>
      </c>
      <c r="D7" s="29">
        <f>-'Income Statement'!D13</f>
        <v/>
      </c>
      <c r="E7" s="29">
        <f>-'Income Statement'!E13</f>
        <v/>
      </c>
      <c r="F7" s="29">
        <f>-'Income Statement'!F13</f>
        <v/>
      </c>
      <c r="G7" s="29">
        <f>-'Income Statement'!G13</f>
        <v/>
      </c>
      <c r="H7" s="29">
        <f>-'Income Statement'!H13</f>
        <v/>
      </c>
      <c r="I7" s="29">
        <f>-'Income Statement'!I13</f>
        <v/>
      </c>
      <c r="J7" s="29">
        <f>-'Income Statement'!J13</f>
        <v/>
      </c>
      <c r="K7" s="29">
        <f>-'Income Statement'!K13</f>
        <v/>
      </c>
      <c r="N7" s="29">
        <f>('Inputs &amp; Sources'!$F$68+'Inputs &amp; Sources'!$G$68)+D7+E7</f>
        <v/>
      </c>
      <c r="O7" s="29">
        <f>SUM(F7:I7)</f>
        <v/>
      </c>
      <c r="P7" s="29">
        <f>J7</f>
        <v/>
      </c>
      <c r="Q7" s="29">
        <f>K7</f>
        <v/>
      </c>
      <c r="R7" s="7" t="inlineStr"/>
    </row>
    <row r="8">
      <c r="A8" s="5" t="inlineStr">
        <is>
          <t>Non-cash interest (accretion)</t>
        </is>
      </c>
      <c r="D8" s="29">
        <f>'Capex &amp; Funding'!D21</f>
        <v/>
      </c>
      <c r="E8" s="29">
        <f>'Capex &amp; Funding'!E21</f>
        <v/>
      </c>
      <c r="F8" s="29">
        <f>'Capex &amp; Funding'!F21</f>
        <v/>
      </c>
      <c r="G8" s="29">
        <f>'Capex &amp; Funding'!G21</f>
        <v/>
      </c>
      <c r="H8" s="29">
        <f>'Capex &amp; Funding'!H21</f>
        <v/>
      </c>
      <c r="I8" s="29">
        <f>'Capex &amp; Funding'!I21</f>
        <v/>
      </c>
      <c r="J8" s="29">
        <f>'Capex &amp; Funding'!J21</f>
        <v/>
      </c>
      <c r="K8" s="29">
        <f>'Capex &amp; Funding'!K21</f>
        <v/>
      </c>
      <c r="N8" s="29">
        <f>D8+E8</f>
        <v/>
      </c>
      <c r="O8" s="29">
        <f>SUM(F8:I8)</f>
        <v/>
      </c>
      <c r="P8" s="29">
        <f>J8</f>
        <v/>
      </c>
      <c r="Q8" s="29">
        <f>K8</f>
        <v/>
      </c>
      <c r="R8" s="7" t="inlineStr"/>
    </row>
    <row r="9">
      <c r="A9" s="5" t="inlineStr">
        <is>
          <t>(Increase)/decrease in accounts receivable</t>
        </is>
      </c>
      <c r="D9" s="29">
        <f>'Balance Sheet'!C6-'Balance Sheet'!D6</f>
        <v/>
      </c>
      <c r="E9" s="29">
        <f>'Balance Sheet'!D6-'Balance Sheet'!E6</f>
        <v/>
      </c>
      <c r="F9" s="29">
        <f>'Balance Sheet'!E6-'Balance Sheet'!F6</f>
        <v/>
      </c>
      <c r="G9" s="29">
        <f>'Balance Sheet'!F6-'Balance Sheet'!G6</f>
        <v/>
      </c>
      <c r="H9" s="29">
        <f>'Balance Sheet'!G6-'Balance Sheet'!H6</f>
        <v/>
      </c>
      <c r="I9" s="29">
        <f>'Balance Sheet'!H6-'Balance Sheet'!I6</f>
        <v/>
      </c>
      <c r="J9" s="29">
        <f>'Balance Sheet'!I6-'Balance Sheet'!J6</f>
        <v/>
      </c>
      <c r="K9" s="29">
        <f>'Balance Sheet'!J6-'Balance Sheet'!K6</f>
        <v/>
      </c>
      <c r="N9" s="29">
        <f>D9+E9</f>
        <v/>
      </c>
      <c r="O9" s="29">
        <f>SUM(F9:I9)</f>
        <v/>
      </c>
      <c r="P9" s="29">
        <f>J9</f>
        <v/>
      </c>
      <c r="Q9" s="29">
        <f>K9</f>
        <v/>
      </c>
      <c r="R9" s="7" t="inlineStr"/>
    </row>
    <row r="10">
      <c r="A10" s="5" t="inlineStr">
        <is>
          <t>Increase/(decrease) in AP &amp; accrued</t>
        </is>
      </c>
      <c r="D10" s="29">
        <f>'Balance Sheet'!D15-'Balance Sheet'!C15</f>
        <v/>
      </c>
      <c r="E10" s="29">
        <f>'Balance Sheet'!E15-'Balance Sheet'!D15</f>
        <v/>
      </c>
      <c r="F10" s="29">
        <f>'Balance Sheet'!F15-'Balance Sheet'!E15</f>
        <v/>
      </c>
      <c r="G10" s="29">
        <f>'Balance Sheet'!G15-'Balance Sheet'!F15</f>
        <v/>
      </c>
      <c r="H10" s="29">
        <f>'Balance Sheet'!H15-'Balance Sheet'!G15</f>
        <v/>
      </c>
      <c r="I10" s="29">
        <f>'Balance Sheet'!I15-'Balance Sheet'!H15</f>
        <v/>
      </c>
      <c r="J10" s="29">
        <f>'Balance Sheet'!J15-'Balance Sheet'!I15</f>
        <v/>
      </c>
      <c r="K10" s="29">
        <f>'Balance Sheet'!K15-'Balance Sheet'!J15</f>
        <v/>
      </c>
      <c r="N10" s="29">
        <f>D10+E10</f>
        <v/>
      </c>
      <c r="O10" s="29">
        <f>SUM(F10:I10)</f>
        <v/>
      </c>
      <c r="P10" s="29">
        <f>J10</f>
        <v/>
      </c>
      <c r="Q10" s="29">
        <f>K10</f>
        <v/>
      </c>
      <c r="R10" s="7" t="inlineStr"/>
    </row>
    <row r="11">
      <c r="A11" s="5" t="inlineStr">
        <is>
          <t>Customer prepayments received</t>
        </is>
      </c>
      <c r="D11" s="29">
        <f>'Capex &amp; Funding'!D12</f>
        <v/>
      </c>
      <c r="E11" s="29">
        <f>'Capex &amp; Funding'!E12</f>
        <v/>
      </c>
      <c r="F11" s="29">
        <f>'Capex &amp; Funding'!F12</f>
        <v/>
      </c>
      <c r="G11" s="29">
        <f>'Capex &amp; Funding'!G12</f>
        <v/>
      </c>
      <c r="H11" s="29">
        <f>'Capex &amp; Funding'!H12</f>
        <v/>
      </c>
      <c r="I11" s="29">
        <f>'Capex &amp; Funding'!I12</f>
        <v/>
      </c>
      <c r="J11" s="29">
        <f>'Capex &amp; Funding'!J12</f>
        <v/>
      </c>
      <c r="K11" s="29">
        <f>'Capex &amp; Funding'!K12</f>
        <v/>
      </c>
      <c r="N11" s="29">
        <f>('Inputs &amp; Sources'!$F$71+'Inputs &amp; Sources'!$G$71)+D11+E11</f>
        <v/>
      </c>
      <c r="O11" s="29">
        <f>SUM(F11:I11)</f>
        <v/>
      </c>
      <c r="P11" s="29">
        <f>J11</f>
        <v/>
      </c>
      <c r="Q11" s="29">
        <f>K11</f>
        <v/>
      </c>
      <c r="R11" s="7" t="inlineStr">
        <is>
          <t>H1'26A = net change in deferred revenue per CF statement ($4,395.0M); gross receipts not disclosed.</t>
        </is>
      </c>
    </row>
    <row r="12">
      <c r="A12" s="5" t="inlineStr">
        <is>
          <t>Prepaid revenue recognized (non-cash)</t>
        </is>
      </c>
      <c r="D12" s="29">
        <f>-'Capex &amp; Funding'!D13</f>
        <v/>
      </c>
      <c r="E12" s="29">
        <f>-'Capex &amp; Funding'!E13</f>
        <v/>
      </c>
      <c r="F12" s="29">
        <f>-'Capex &amp; Funding'!F13</f>
        <v/>
      </c>
      <c r="G12" s="29">
        <f>-'Capex &amp; Funding'!G13</f>
        <v/>
      </c>
      <c r="H12" s="29">
        <f>-'Capex &amp; Funding'!H13</f>
        <v/>
      </c>
      <c r="I12" s="29">
        <f>-'Capex &amp; Funding'!I13</f>
        <v/>
      </c>
      <c r="J12" s="29">
        <f>-'Capex &amp; Funding'!J13</f>
        <v/>
      </c>
      <c r="K12" s="29">
        <f>-'Capex &amp; Funding'!K13</f>
        <v/>
      </c>
      <c r="N12" s="29">
        <f>D12+E12</f>
        <v/>
      </c>
      <c r="O12" s="29">
        <f>SUM(F12:I12)</f>
        <v/>
      </c>
      <c r="P12" s="29">
        <f>J12</f>
        <v/>
      </c>
      <c r="Q12" s="29">
        <f>K12</f>
        <v/>
      </c>
      <c r="R12" s="7" t="inlineStr"/>
    </row>
    <row r="13">
      <c r="A13" s="5" t="inlineStr">
        <is>
          <t>Other non-cash items &amp; working capital (H1'26A residual)</t>
        </is>
      </c>
      <c r="D13" s="20" t="n">
        <v>0</v>
      </c>
      <c r="E13" s="20" t="n">
        <v>0</v>
      </c>
      <c r="F13" s="20" t="n">
        <v>0</v>
      </c>
      <c r="G13" s="20" t="n">
        <v>0</v>
      </c>
      <c r="H13" s="20" t="n">
        <v>0</v>
      </c>
      <c r="I13" s="20" t="n">
        <v>0</v>
      </c>
      <c r="J13" s="20" t="n">
        <v>0</v>
      </c>
      <c r="K13" s="20" t="n">
        <v>0</v>
      </c>
      <c r="N13" s="29">
        <f>(('Inputs &amp; Sources'!$F$69+'Inputs &amp; Sources'!$G$69)-('Inputs &amp; Sources'!$F$66+'Inputs &amp; Sources'!$G$66)-('Inputs &amp; Sources'!$F$60+'Inputs &amp; Sources'!$G$60)-('Inputs &amp; Sources'!$F$68+'Inputs &amp; Sources'!$G$68)-('Inputs &amp; Sources'!$F$71+'Inputs &amp; Sources'!$G$71))+D13+E13</f>
        <v/>
      </c>
      <c r="O13" s="29">
        <f>SUM(F13:I13)</f>
        <v/>
      </c>
      <c r="P13" s="29">
        <f>J13</f>
        <v/>
      </c>
      <c r="Q13" s="29">
        <f>K13</f>
        <v/>
      </c>
      <c r="R13" s="7" t="inlineStr">
        <is>
          <t>H1'26A residual incl. -$780.6M non-cash revaluation gain. Zero in forecast.</t>
        </is>
      </c>
    </row>
    <row r="14">
      <c r="A14" s="8" t="inlineStr">
        <is>
          <t>Cash from operations</t>
        </is>
      </c>
      <c r="D14" s="28">
        <f>SUM(D5:D13)</f>
        <v/>
      </c>
      <c r="E14" s="28">
        <f>SUM(E5:E13)</f>
        <v/>
      </c>
      <c r="F14" s="28">
        <f>SUM(F5:F13)</f>
        <v/>
      </c>
      <c r="G14" s="28">
        <f>SUM(G5:G13)</f>
        <v/>
      </c>
      <c r="H14" s="28">
        <f>SUM(H5:H13)</f>
        <v/>
      </c>
      <c r="I14" s="28">
        <f>SUM(I5:I13)</f>
        <v/>
      </c>
      <c r="J14" s="28">
        <f>SUM(J5:J13)</f>
        <v/>
      </c>
      <c r="K14" s="28">
        <f>SUM(K5:K13)</f>
        <v/>
      </c>
      <c r="N14" s="28">
        <f>SUM(N5:N13)</f>
        <v/>
      </c>
      <c r="O14" s="28">
        <f>SUM(O5:O13)</f>
        <v/>
      </c>
      <c r="P14" s="28">
        <f>SUM(P5:P13)</f>
        <v/>
      </c>
      <c r="Q14" s="28">
        <f>SUM(Q5:Q13)</f>
        <v/>
      </c>
      <c r="R14" s="7" t="inlineStr"/>
    </row>
    <row r="15">
      <c r="A15" s="5" t="inlineStr">
        <is>
          <t>Capex</t>
        </is>
      </c>
      <c r="D15" s="29">
        <f>-'Capex &amp; Funding'!D6</f>
        <v/>
      </c>
      <c r="E15" s="29">
        <f>-'Capex &amp; Funding'!E6</f>
        <v/>
      </c>
      <c r="F15" s="29">
        <f>-'Capex &amp; Funding'!F6</f>
        <v/>
      </c>
      <c r="G15" s="29">
        <f>-'Capex &amp; Funding'!G6</f>
        <v/>
      </c>
      <c r="H15" s="29">
        <f>-'Capex &amp; Funding'!H6</f>
        <v/>
      </c>
      <c r="I15" s="29">
        <f>-'Capex &amp; Funding'!I6</f>
        <v/>
      </c>
      <c r="J15" s="29">
        <f>-'Capex &amp; Funding'!J6</f>
        <v/>
      </c>
      <c r="K15" s="29">
        <f>-'Capex &amp; Funding'!K6</f>
        <v/>
      </c>
      <c r="N15" s="29">
        <f>-('Inputs &amp; Sources'!$F$70+'Inputs &amp; Sources'!$G$70)+D15+E15</f>
        <v/>
      </c>
      <c r="O15" s="29">
        <f>SUM(F15:I15)</f>
        <v/>
      </c>
      <c r="P15" s="29">
        <f>J15</f>
        <v/>
      </c>
      <c r="Q15" s="29">
        <f>K15</f>
        <v/>
      </c>
      <c r="R15" s="7" t="inlineStr"/>
    </row>
    <row r="16">
      <c r="A16" s="5" t="inlineStr">
        <is>
          <t>Acquisitions &amp; other investing</t>
        </is>
      </c>
      <c r="D16" s="20" t="n">
        <v>0</v>
      </c>
      <c r="E16" s="20" t="n">
        <v>0</v>
      </c>
      <c r="F16" s="20" t="n">
        <v>0</v>
      </c>
      <c r="G16" s="20" t="n">
        <v>0</v>
      </c>
      <c r="H16" s="20" t="n">
        <v>0</v>
      </c>
      <c r="I16" s="20" t="n">
        <v>0</v>
      </c>
      <c r="J16" s="20" t="n">
        <v>0</v>
      </c>
      <c r="K16" s="20" t="n">
        <v>0</v>
      </c>
      <c r="N16" s="29">
        <f>'Inputs &amp; Sources'!$B$99+D16+E16</f>
        <v/>
      </c>
      <c r="O16" s="29">
        <f>SUM(F16:I16)</f>
        <v/>
      </c>
      <c r="P16" s="29">
        <f>J16</f>
        <v/>
      </c>
      <c r="Q16" s="29">
        <f>K16</f>
        <v/>
      </c>
      <c r="R16" s="7" t="inlineStr">
        <is>
          <t>H1'26A: acquisitions -$251.6M, other +$93.1M (S1). Not forecast.</t>
        </is>
      </c>
    </row>
    <row r="17">
      <c r="A17" s="8" t="inlineStr">
        <is>
          <t>Cash from investing</t>
        </is>
      </c>
      <c r="D17" s="28">
        <f>D15+D16</f>
        <v/>
      </c>
      <c r="E17" s="28">
        <f>E15+E16</f>
        <v/>
      </c>
      <c r="F17" s="28">
        <f>F15+F16</f>
        <v/>
      </c>
      <c r="G17" s="28">
        <f>G15+G16</f>
        <v/>
      </c>
      <c r="H17" s="28">
        <f>H15+H16</f>
        <v/>
      </c>
      <c r="I17" s="28">
        <f>I15+I16</f>
        <v/>
      </c>
      <c r="J17" s="28">
        <f>J15+J16</f>
        <v/>
      </c>
      <c r="K17" s="28">
        <f>K15+K16</f>
        <v/>
      </c>
      <c r="N17" s="28">
        <f>N15+N16</f>
        <v/>
      </c>
      <c r="O17" s="28">
        <f>O15+O16</f>
        <v/>
      </c>
      <c r="P17" s="28">
        <f>P15+P16</f>
        <v/>
      </c>
      <c r="Q17" s="28">
        <f>Q15+Q16</f>
        <v/>
      </c>
      <c r="R17" s="7" t="inlineStr"/>
    </row>
    <row r="18">
      <c r="A18" s="5" t="inlineStr">
        <is>
          <t>Committed financing (converts net + secured facility)</t>
        </is>
      </c>
      <c r="D18" s="29">
        <f>'Capex &amp; Funding'!D18</f>
        <v/>
      </c>
      <c r="E18" s="29">
        <f>'Capex &amp; Funding'!E18</f>
        <v/>
      </c>
      <c r="F18" s="29">
        <f>'Capex &amp; Funding'!F18</f>
        <v/>
      </c>
      <c r="G18" s="29">
        <f>'Capex &amp; Funding'!G18</f>
        <v/>
      </c>
      <c r="H18" s="29">
        <f>'Capex &amp; Funding'!H18</f>
        <v/>
      </c>
      <c r="I18" s="29">
        <f>'Capex &amp; Funding'!I18</f>
        <v/>
      </c>
      <c r="J18" s="29">
        <f>'Capex &amp; Funding'!J18</f>
        <v/>
      </c>
      <c r="K18" s="29">
        <f>'Capex &amp; Funding'!K18</f>
        <v/>
      </c>
      <c r="N18" s="29">
        <f>'Inputs &amp; Sources'!$B$97+D18+E18</f>
        <v/>
      </c>
      <c r="O18" s="29">
        <f>SUM(F18:I18)</f>
        <v/>
      </c>
      <c r="P18" s="29">
        <f>J18</f>
        <v/>
      </c>
      <c r="Q18" s="29">
        <f>K18</f>
        <v/>
      </c>
      <c r="R18" s="7" t="inlineStr">
        <is>
          <t>H1'26A: converts $4,337.5M less $43.8M costs (S1).</t>
        </is>
      </c>
    </row>
    <row r="19">
      <c r="A19" s="5" t="inlineStr">
        <is>
          <t>New debt (funding plug)</t>
        </is>
      </c>
      <c r="D19" s="29">
        <f>'Capex &amp; Funding'!D34</f>
        <v/>
      </c>
      <c r="E19" s="29">
        <f>'Capex &amp; Funding'!E34</f>
        <v/>
      </c>
      <c r="F19" s="29">
        <f>'Capex &amp; Funding'!F34</f>
        <v/>
      </c>
      <c r="G19" s="29">
        <f>'Capex &amp; Funding'!G34</f>
        <v/>
      </c>
      <c r="H19" s="29">
        <f>'Capex &amp; Funding'!H34</f>
        <v/>
      </c>
      <c r="I19" s="29">
        <f>'Capex &amp; Funding'!I34</f>
        <v/>
      </c>
      <c r="J19" s="29">
        <f>'Capex &amp; Funding'!J34</f>
        <v/>
      </c>
      <c r="K19" s="29">
        <f>'Capex &amp; Funding'!K34</f>
        <v/>
      </c>
      <c r="N19" s="29">
        <f>D19+E19</f>
        <v/>
      </c>
      <c r="O19" s="29">
        <f>SUM(F19:I19)</f>
        <v/>
      </c>
      <c r="P19" s="29">
        <f>J19</f>
        <v/>
      </c>
      <c r="Q19" s="29">
        <f>K19</f>
        <v/>
      </c>
      <c r="R19" s="7" t="inlineStr"/>
    </row>
    <row r="20">
      <c r="A20" s="5" t="inlineStr">
        <is>
          <t>New equity (ATM / other equity)</t>
        </is>
      </c>
      <c r="D20" s="29">
        <f>'Capex &amp; Funding'!D35</f>
        <v/>
      </c>
      <c r="E20" s="29">
        <f>'Capex &amp; Funding'!E35</f>
        <v/>
      </c>
      <c r="F20" s="29">
        <f>'Capex &amp; Funding'!F35</f>
        <v/>
      </c>
      <c r="G20" s="29">
        <f>'Capex &amp; Funding'!G35</f>
        <v/>
      </c>
      <c r="H20" s="29">
        <f>'Capex &amp; Funding'!H35</f>
        <v/>
      </c>
      <c r="I20" s="29">
        <f>'Capex &amp; Funding'!I35</f>
        <v/>
      </c>
      <c r="J20" s="29">
        <f>'Capex &amp; Funding'!J35</f>
        <v/>
      </c>
      <c r="K20" s="29">
        <f>'Capex &amp; Funding'!K35</f>
        <v/>
      </c>
      <c r="N20" s="29">
        <f>'Inputs &amp; Sources'!$B$98+D20+E20</f>
        <v/>
      </c>
      <c r="O20" s="29">
        <f>SUM(F20:I20)</f>
        <v/>
      </c>
      <c r="P20" s="29">
        <f>J20</f>
        <v/>
      </c>
      <c r="Q20" s="29">
        <f>K20</f>
        <v/>
      </c>
      <c r="R20" s="7" t="inlineStr">
        <is>
          <t>H1'26A: ATM $2,846.7M - $35.6M costs + NVIDIA pre-funded warrant $2,000M + options $55.6M (S1). FY2026E = H1A + D + E.</t>
        </is>
      </c>
    </row>
    <row r="21">
      <c r="A21" s="8" t="inlineStr">
        <is>
          <t>Cash from financing</t>
        </is>
      </c>
      <c r="D21" s="28">
        <f>D18+D19+D20</f>
        <v/>
      </c>
      <c r="E21" s="28">
        <f>E18+E19+E20</f>
        <v/>
      </c>
      <c r="F21" s="28">
        <f>F18+F19+F20</f>
        <v/>
      </c>
      <c r="G21" s="28">
        <f>G18+G19+G20</f>
        <v/>
      </c>
      <c r="H21" s="28">
        <f>H18+H19+H20</f>
        <v/>
      </c>
      <c r="I21" s="28">
        <f>I18+I19+I20</f>
        <v/>
      </c>
      <c r="J21" s="28">
        <f>J18+J19+J20</f>
        <v/>
      </c>
      <c r="K21" s="28">
        <f>K18+K19+K20</f>
        <v/>
      </c>
      <c r="N21" s="28">
        <f>N18+N19+N20</f>
        <v/>
      </c>
      <c r="O21" s="28">
        <f>O18+O19+O20</f>
        <v/>
      </c>
      <c r="P21" s="28">
        <f>P18+P19+P20</f>
        <v/>
      </c>
      <c r="Q21" s="28">
        <f>Q18+Q19+Q20</f>
        <v/>
      </c>
      <c r="R21" s="7" t="inlineStr"/>
    </row>
    <row r="22">
      <c r="A22" s="5" t="inlineStr">
        <is>
          <t>FX, restricted cash &amp; other reconciling (H1'26A only)</t>
        </is>
      </c>
      <c r="D22" s="20" t="n">
        <v>0</v>
      </c>
      <c r="E22" s="20" t="n">
        <v>0</v>
      </c>
      <c r="F22" s="20" t="n">
        <v>0</v>
      </c>
      <c r="G22" s="20" t="n">
        <v>0</v>
      </c>
      <c r="H22" s="20" t="n">
        <v>0</v>
      </c>
      <c r="I22" s="20" t="n">
        <v>0</v>
      </c>
      <c r="J22" s="20" t="n">
        <v>0</v>
      </c>
      <c r="K22" s="20" t="n">
        <v>0</v>
      </c>
      <c r="N22" s="29">
        <f>('Inputs &amp; Sources'!$B$82-'Inputs &amp; Sources'!$E$73)-(('Inputs &amp; Sources'!$F$69+'Inputs &amp; Sources'!$G$69)+'Inputs &amp; Sources'!$B$99-('Inputs &amp; Sources'!$F$70+'Inputs &amp; Sources'!$G$70)+'Inputs &amp; Sources'!$B$97+'Inputs &amp; Sources'!$B$98)</f>
        <v/>
      </c>
      <c r="O22" s="29">
        <f>SUM(F22:I22)</f>
        <v/>
      </c>
      <c r="P22" s="29">
        <f>J22</f>
        <v/>
      </c>
      <c r="Q22" s="29">
        <f>K22</f>
        <v/>
      </c>
      <c r="R22" s="7" t="inlineStr">
        <is>
          <t>H1'26A: reported cash change incl. restricted cash/FX vs cash &amp; equivalents.</t>
        </is>
      </c>
    </row>
    <row r="23">
      <c r="A23" s="8" t="inlineStr">
        <is>
          <t>Net change in cash</t>
        </is>
      </c>
      <c r="D23" s="28">
        <f>D14+D17+D21+D22</f>
        <v/>
      </c>
      <c r="E23" s="28">
        <f>E14+E17+E21+E22</f>
        <v/>
      </c>
      <c r="F23" s="28">
        <f>F14+F17+F21+F22</f>
        <v/>
      </c>
      <c r="G23" s="28">
        <f>G14+G17+G21+G22</f>
        <v/>
      </c>
      <c r="H23" s="28">
        <f>H14+H17+H21+H22</f>
        <v/>
      </c>
      <c r="I23" s="28">
        <f>I14+I17+I21+I22</f>
        <v/>
      </c>
      <c r="J23" s="28">
        <f>J14+J17+J21+J22</f>
        <v/>
      </c>
      <c r="K23" s="28">
        <f>K14+K17+K21+K22</f>
        <v/>
      </c>
      <c r="N23" s="28">
        <f>N14+N17+N21+N22</f>
        <v/>
      </c>
      <c r="O23" s="28">
        <f>O14+O17+O21+O22</f>
        <v/>
      </c>
      <c r="P23" s="28">
        <f>P14+P17+P21+P22</f>
        <v/>
      </c>
      <c r="Q23" s="28">
        <f>Q14+Q17+Q21+Q22</f>
        <v/>
      </c>
      <c r="R23" s="7" t="inlineStr"/>
    </row>
    <row r="24">
      <c r="A24" s="5" t="inlineStr">
        <is>
          <t>Opening cash</t>
        </is>
      </c>
      <c r="D24" s="29">
        <f>'Balance Sheet'!C5</f>
        <v/>
      </c>
      <c r="E24" s="29">
        <f>'Balance Sheet'!D5</f>
        <v/>
      </c>
      <c r="F24" s="29">
        <f>'Balance Sheet'!E5</f>
        <v/>
      </c>
      <c r="G24" s="29">
        <f>'Balance Sheet'!F5</f>
        <v/>
      </c>
      <c r="H24" s="29">
        <f>'Balance Sheet'!G5</f>
        <v/>
      </c>
      <c r="I24" s="29">
        <f>'Balance Sheet'!H5</f>
        <v/>
      </c>
      <c r="J24" s="29">
        <f>'Balance Sheet'!I5</f>
        <v/>
      </c>
      <c r="K24" s="29">
        <f>'Balance Sheet'!J5</f>
        <v/>
      </c>
      <c r="N24" s="29">
        <f>'Inputs &amp; Sources'!$E$73</f>
        <v/>
      </c>
      <c r="O24" s="29">
        <f>N25</f>
        <v/>
      </c>
      <c r="P24" s="29">
        <f>O25</f>
        <v/>
      </c>
      <c r="Q24" s="29">
        <f>P25</f>
        <v/>
      </c>
      <c r="R24" s="7" t="inlineStr"/>
    </row>
    <row r="25">
      <c r="A25" s="8" t="inlineStr">
        <is>
          <t>Closing cash</t>
        </is>
      </c>
      <c r="D25" s="28">
        <f>D24+D23</f>
        <v/>
      </c>
      <c r="E25" s="28">
        <f>E24+E23</f>
        <v/>
      </c>
      <c r="F25" s="28">
        <f>F24+F23</f>
        <v/>
      </c>
      <c r="G25" s="28">
        <f>G24+G23</f>
        <v/>
      </c>
      <c r="H25" s="28">
        <f>H24+H23</f>
        <v/>
      </c>
      <c r="I25" s="28">
        <f>I24+I23</f>
        <v/>
      </c>
      <c r="J25" s="28">
        <f>J24+J23</f>
        <v/>
      </c>
      <c r="K25" s="28">
        <f>K24+K23</f>
        <v/>
      </c>
      <c r="N25" s="28">
        <f>N24+N23</f>
        <v/>
      </c>
      <c r="O25" s="28">
        <f>O24+O23</f>
        <v/>
      </c>
      <c r="P25" s="28">
        <f>P24+P23</f>
        <v/>
      </c>
      <c r="Q25" s="28">
        <f>Q24+Q23</f>
        <v/>
      </c>
      <c r="R25" s="7" t="inlineStr"/>
    </row>
    <row r="26"/>
    <row r="27">
      <c r="A27" s="8" t="inlineStr">
        <is>
          <t>Memo: free cash flow (CFO + capex)</t>
        </is>
      </c>
      <c r="D27" s="28">
        <f>D14+D15</f>
        <v/>
      </c>
      <c r="E27" s="28">
        <f>E14+E15</f>
        <v/>
      </c>
      <c r="F27" s="28">
        <f>F14+F15</f>
        <v/>
      </c>
      <c r="G27" s="28">
        <f>G14+G15</f>
        <v/>
      </c>
      <c r="H27" s="28">
        <f>H14+H15</f>
        <v/>
      </c>
      <c r="I27" s="28">
        <f>I14+I15</f>
        <v/>
      </c>
      <c r="J27" s="28">
        <f>J14+J15</f>
        <v/>
      </c>
      <c r="K27" s="28">
        <f>K14+K15</f>
        <v/>
      </c>
      <c r="N27" s="28">
        <f>N14+N15</f>
        <v/>
      </c>
      <c r="O27" s="28">
        <f>O14+O15</f>
        <v/>
      </c>
      <c r="P27" s="28">
        <f>P14+P15</f>
        <v/>
      </c>
      <c r="Q27" s="28">
        <f>Q14+Q15</f>
        <v/>
      </c>
      <c r="R27" s="7" t="inlineStr"/>
    </row>
    <row r="28">
      <c r="A28" s="5" t="inlineStr">
        <is>
          <t>Memo: CFO / adj. EBITDA (working-capital timing from prepayments)</t>
        </is>
      </c>
      <c r="D28" s="30">
        <f>D14/'Income Statement'!D11</f>
        <v/>
      </c>
      <c r="E28" s="30">
        <f>E14/'Income Statement'!E11</f>
        <v/>
      </c>
      <c r="F28" s="30">
        <f>F14/'Income Statement'!F11</f>
        <v/>
      </c>
      <c r="G28" s="30">
        <f>G14/'Income Statement'!G11</f>
        <v/>
      </c>
      <c r="H28" s="30">
        <f>H14/'Income Statement'!H11</f>
        <v/>
      </c>
      <c r="I28" s="30">
        <f>I14/'Income Statement'!I11</f>
        <v/>
      </c>
      <c r="J28" s="30">
        <f>J14/'Income Statement'!J11</f>
        <v/>
      </c>
      <c r="K28" s="30">
        <f>K14/'Income Statement'!K11</f>
        <v/>
      </c>
      <c r="N28" s="30">
        <f>N14/'Income Statement'!N11</f>
        <v/>
      </c>
      <c r="O28" s="30">
        <f>O14/'Income Statement'!O11</f>
        <v/>
      </c>
      <c r="P28" s="30">
        <f>P14/'Income Statement'!P11</f>
        <v/>
      </c>
      <c r="Q28" s="30">
        <f>Q14/'Income Statement'!Q11</f>
        <v/>
      </c>
      <c r="R28" s="7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6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9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" customWidth="1" min="13" max="13"/>
    <col width="11" customWidth="1" min="14" max="14"/>
    <col width="11" customWidth="1" min="15" max="15"/>
    <col width="11" customWidth="1" min="16" max="16"/>
    <col width="11" customWidth="1" min="17" max="17"/>
    <col width="70" customWidth="1" min="18" max="18"/>
  </cols>
  <sheetData>
    <row r="1">
      <c r="A1" s="1" t="inlineStr">
        <is>
          <t>Capex &amp; Funding</t>
        </is>
      </c>
    </row>
    <row r="2">
      <c r="A2" s="2" t="inlineStr">
        <is>
          <t>PP&amp;E roll, customer prepayments (deferred revenue), debt &amp; interest, funding waterfall (min-cash plug split debt/equity), share count, convertible tranches.</t>
        </is>
      </c>
    </row>
    <row r="3"/>
    <row r="4">
      <c r="A4" s="13" t="inlineStr"/>
      <c r="B4" s="18" t="inlineStr">
        <is>
          <t>Unit</t>
        </is>
      </c>
      <c r="C4" s="18" t="inlineStr">
        <is>
          <t>Jun-26A</t>
        </is>
      </c>
      <c r="D4" s="18" t="inlineStr">
        <is>
          <t>Q3'26E</t>
        </is>
      </c>
      <c r="E4" s="18" t="inlineStr">
        <is>
          <t>Q4'26E</t>
        </is>
      </c>
      <c r="F4" s="18" t="inlineStr">
        <is>
          <t>Q1'27E</t>
        </is>
      </c>
      <c r="G4" s="18" t="inlineStr">
        <is>
          <t>Q2'27E</t>
        </is>
      </c>
      <c r="H4" s="18" t="inlineStr">
        <is>
          <t>Q3'27E</t>
        </is>
      </c>
      <c r="I4" s="18" t="inlineStr">
        <is>
          <t>Q4'27E</t>
        </is>
      </c>
      <c r="J4" s="18" t="inlineStr">
        <is>
          <t>FY2028E</t>
        </is>
      </c>
      <c r="K4" s="18" t="inlineStr">
        <is>
          <t>FY2029E</t>
        </is>
      </c>
      <c r="L4" s="18" t="inlineStr"/>
      <c r="M4" s="31" t="inlineStr"/>
      <c r="N4" s="18" t="inlineStr">
        <is>
          <t>FY2026E</t>
        </is>
      </c>
      <c r="O4" s="18" t="inlineStr">
        <is>
          <t>FY2027E</t>
        </is>
      </c>
      <c r="P4" s="18" t="inlineStr">
        <is>
          <t>FY2028E</t>
        </is>
      </c>
      <c r="Q4" s="18" t="inlineStr">
        <is>
          <t>FY2029E</t>
        </is>
      </c>
      <c r="R4" s="13" t="inlineStr">
        <is>
          <t>Basis / note</t>
        </is>
      </c>
    </row>
    <row r="5">
      <c r="A5" s="3" t="inlineStr">
        <is>
          <t>PP&amp;E and depreciation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</row>
    <row r="6">
      <c r="A6" s="8" t="inlineStr">
        <is>
          <t>Capex</t>
        </is>
      </c>
      <c r="D6" s="28">
        <f>'Drivers'!D43</f>
        <v/>
      </c>
      <c r="E6" s="28">
        <f>'Drivers'!E43</f>
        <v/>
      </c>
      <c r="F6" s="28">
        <f>'Drivers'!F43</f>
        <v/>
      </c>
      <c r="G6" s="28">
        <f>'Drivers'!G43</f>
        <v/>
      </c>
      <c r="H6" s="28">
        <f>'Drivers'!H43</f>
        <v/>
      </c>
      <c r="I6" s="28">
        <f>'Drivers'!I43</f>
        <v/>
      </c>
      <c r="J6" s="28">
        <f>'Drivers'!J43</f>
        <v/>
      </c>
      <c r="K6" s="28">
        <f>'Drivers'!K43</f>
        <v/>
      </c>
      <c r="N6" s="29">
        <f>('Inputs &amp; Sources'!$F$70+'Inputs &amp; Sources'!$G$70)+D6+E6</f>
        <v/>
      </c>
      <c r="O6" s="29">
        <f>SUM(F6:I6)</f>
        <v/>
      </c>
      <c r="P6" s="29">
        <f>J6</f>
        <v/>
      </c>
      <c r="Q6" s="29">
        <f>K6</f>
        <v/>
      </c>
      <c r="R6" s="7" t="inlineStr"/>
    </row>
    <row r="7">
      <c r="A7" s="5" t="inlineStr">
        <is>
          <t>Opening net PP&amp;E</t>
        </is>
      </c>
      <c r="D7" s="29">
        <f>C9</f>
        <v/>
      </c>
      <c r="E7" s="29">
        <f>D9</f>
        <v/>
      </c>
      <c r="F7" s="29">
        <f>E9</f>
        <v/>
      </c>
      <c r="G7" s="29">
        <f>F9</f>
        <v/>
      </c>
      <c r="H7" s="29">
        <f>G9</f>
        <v/>
      </c>
      <c r="I7" s="29">
        <f>H9</f>
        <v/>
      </c>
      <c r="J7" s="29">
        <f>I9</f>
        <v/>
      </c>
      <c r="K7" s="29">
        <f>J9</f>
        <v/>
      </c>
      <c r="R7" s="7" t="inlineStr"/>
    </row>
    <row r="8">
      <c r="A8" s="5" t="inlineStr">
        <is>
          <t>Depreciation &amp; amortization</t>
        </is>
      </c>
      <c r="D8" s="29">
        <f>(D7+0.5*D6)*'Drivers'!D44*'Drivers'!D7</f>
        <v/>
      </c>
      <c r="E8" s="29">
        <f>(E7+0.5*E6)*'Drivers'!E44*'Drivers'!E7</f>
        <v/>
      </c>
      <c r="F8" s="29">
        <f>(F7+0.5*F6)*'Drivers'!F44*'Drivers'!F7</f>
        <v/>
      </c>
      <c r="G8" s="29">
        <f>(G7+0.5*G6)*'Drivers'!G44*'Drivers'!G7</f>
        <v/>
      </c>
      <c r="H8" s="29">
        <f>(H7+0.5*H6)*'Drivers'!H44*'Drivers'!H7</f>
        <v/>
      </c>
      <c r="I8" s="29">
        <f>(I7+0.5*I6)*'Drivers'!I44*'Drivers'!I7</f>
        <v/>
      </c>
      <c r="J8" s="29">
        <f>(J7+0.5*J6)*'Drivers'!J44*'Drivers'!J7</f>
        <v/>
      </c>
      <c r="K8" s="29">
        <f>(K7+0.5*K6)*'Drivers'!K44*'Drivers'!K7</f>
        <v/>
      </c>
      <c r="N8" s="29">
        <f>('Inputs &amp; Sources'!$F$60+'Inputs &amp; Sources'!$G$60)+D8+E8</f>
        <v/>
      </c>
      <c r="O8" s="29">
        <f>SUM(F8:I8)</f>
        <v/>
      </c>
      <c r="P8" s="29">
        <f>J8</f>
        <v/>
      </c>
      <c r="Q8" s="29">
        <f>K8</f>
        <v/>
      </c>
      <c r="R8" s="7" t="inlineStr"/>
    </row>
    <row r="9">
      <c r="A9" s="8" t="inlineStr">
        <is>
          <t>Closing net PP&amp;E</t>
        </is>
      </c>
      <c r="C9" s="28">
        <f>'Inputs &amp; Sources'!$B$85</f>
        <v/>
      </c>
      <c r="D9" s="28">
        <f>D7+D6-D8</f>
        <v/>
      </c>
      <c r="E9" s="28">
        <f>E7+E6-E8</f>
        <v/>
      </c>
      <c r="F9" s="28">
        <f>F7+F6-F8</f>
        <v/>
      </c>
      <c r="G9" s="28">
        <f>G7+G6-G8</f>
        <v/>
      </c>
      <c r="H9" s="28">
        <f>H7+H6-H8</f>
        <v/>
      </c>
      <c r="I9" s="28">
        <f>I7+I6-I8</f>
        <v/>
      </c>
      <c r="J9" s="28">
        <f>J7+J6-J8</f>
        <v/>
      </c>
      <c r="K9" s="28">
        <f>K7+K6-K8</f>
        <v/>
      </c>
      <c r="N9" s="29">
        <f>E9</f>
        <v/>
      </c>
      <c r="O9" s="29">
        <f>I9</f>
        <v/>
      </c>
      <c r="P9" s="29">
        <f>J9</f>
        <v/>
      </c>
      <c r="Q9" s="29">
        <f>K9</f>
        <v/>
      </c>
      <c r="R9" s="7" t="inlineStr"/>
    </row>
    <row r="10">
      <c r="A10" s="3" t="inlineStr">
        <is>
          <t>Customer prepayments (deferred revenue)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</row>
    <row r="11">
      <c r="A11" s="5" t="inlineStr">
        <is>
          <t>Opening deferred revenue</t>
        </is>
      </c>
      <c r="D11" s="29">
        <f>C14</f>
        <v/>
      </c>
      <c r="E11" s="29">
        <f>D14</f>
        <v/>
      </c>
      <c r="F11" s="29">
        <f>E14</f>
        <v/>
      </c>
      <c r="G11" s="29">
        <f>F14</f>
        <v/>
      </c>
      <c r="H11" s="29">
        <f>G14</f>
        <v/>
      </c>
      <c r="I11" s="29">
        <f>H14</f>
        <v/>
      </c>
      <c r="J11" s="29">
        <f>I14</f>
        <v/>
      </c>
      <c r="K11" s="29">
        <f>J14</f>
        <v/>
      </c>
      <c r="R11" s="7" t="inlineStr"/>
    </row>
    <row r="12">
      <c r="A12" s="5" t="inlineStr">
        <is>
          <t>Prepayments received (cash in)</t>
        </is>
      </c>
      <c r="D12" s="29">
        <f>D6*'Drivers'!D46</f>
        <v/>
      </c>
      <c r="E12" s="29">
        <f>E6*'Drivers'!E46</f>
        <v/>
      </c>
      <c r="F12" s="29">
        <f>F6*'Drivers'!F46</f>
        <v/>
      </c>
      <c r="G12" s="29">
        <f>G6*'Drivers'!G46</f>
        <v/>
      </c>
      <c r="H12" s="29">
        <f>H6*'Drivers'!H46</f>
        <v/>
      </c>
      <c r="I12" s="29">
        <f>I6*'Drivers'!I46</f>
        <v/>
      </c>
      <c r="J12" s="29">
        <f>J6*'Drivers'!J46</f>
        <v/>
      </c>
      <c r="K12" s="29">
        <f>K6*'Drivers'!K46</f>
        <v/>
      </c>
      <c r="N12" s="29">
        <f>D12+E12</f>
        <v/>
      </c>
      <c r="O12" s="29">
        <f>SUM(F12:I12)</f>
        <v/>
      </c>
      <c r="P12" s="29">
        <f>J12</f>
        <v/>
      </c>
      <c r="Q12" s="29">
        <f>K12</f>
        <v/>
      </c>
      <c r="R12" s="7" t="inlineStr">
        <is>
          <t>FY2026E summary = H2 only. H1'26A net increase in deferred revenue was $4,395M (gross receipts not disclosed); company expects &gt;$9B received in 2026.</t>
        </is>
      </c>
    </row>
    <row r="13">
      <c r="A13" s="5" t="inlineStr">
        <is>
          <t>Prepaid revenue recognized (non-cash revenue)</t>
        </is>
      </c>
      <c r="D13" s="29">
        <f>D11*'Drivers'!D47*'Drivers'!D7</f>
        <v/>
      </c>
      <c r="E13" s="29">
        <f>E11*'Drivers'!E47*'Drivers'!E7</f>
        <v/>
      </c>
      <c r="F13" s="29">
        <f>F11*'Drivers'!F47*'Drivers'!F7</f>
        <v/>
      </c>
      <c r="G13" s="29">
        <f>G11*'Drivers'!G47*'Drivers'!G7</f>
        <v/>
      </c>
      <c r="H13" s="29">
        <f>H11*'Drivers'!H47*'Drivers'!H7</f>
        <v/>
      </c>
      <c r="I13" s="29">
        <f>I11*'Drivers'!I47*'Drivers'!I7</f>
        <v/>
      </c>
      <c r="J13" s="29">
        <f>J11*'Drivers'!J47*'Drivers'!J7</f>
        <v/>
      </c>
      <c r="K13" s="29">
        <f>K11*'Drivers'!K47*'Drivers'!K7</f>
        <v/>
      </c>
      <c r="N13" s="29">
        <f>D13+E13</f>
        <v/>
      </c>
      <c r="O13" s="29">
        <f>SUM(F13:I13)</f>
        <v/>
      </c>
      <c r="P13" s="29">
        <f>J13</f>
        <v/>
      </c>
      <c r="Q13" s="29">
        <f>K13</f>
        <v/>
      </c>
      <c r="R13" s="7" t="inlineStr"/>
    </row>
    <row r="14">
      <c r="A14" s="8" t="inlineStr">
        <is>
          <t>Closing deferred revenue</t>
        </is>
      </c>
      <c r="C14" s="28">
        <f>'Inputs &amp; Sources'!$B$91</f>
        <v/>
      </c>
      <c r="D14" s="28">
        <f>D11+D12-D13</f>
        <v/>
      </c>
      <c r="E14" s="28">
        <f>E11+E12-E13</f>
        <v/>
      </c>
      <c r="F14" s="28">
        <f>F11+F12-F13</f>
        <v/>
      </c>
      <c r="G14" s="28">
        <f>G11+G12-G13</f>
        <v/>
      </c>
      <c r="H14" s="28">
        <f>H11+H12-H13</f>
        <v/>
      </c>
      <c r="I14" s="28">
        <f>I11+I12-I13</f>
        <v/>
      </c>
      <c r="J14" s="28">
        <f>J11+J12-J13</f>
        <v/>
      </c>
      <c r="K14" s="28">
        <f>K11+K12-K13</f>
        <v/>
      </c>
      <c r="N14" s="29">
        <f>E14</f>
        <v/>
      </c>
      <c r="O14" s="29">
        <f>I14</f>
        <v/>
      </c>
      <c r="P14" s="29">
        <f>J14</f>
        <v/>
      </c>
      <c r="Q14" s="29">
        <f>K14</f>
        <v/>
      </c>
      <c r="R14" s="7" t="inlineStr"/>
    </row>
    <row r="15">
      <c r="A15" s="5" t="inlineStr">
        <is>
          <t>Prepayments received / capex</t>
        </is>
      </c>
      <c r="D15" s="14">
        <f>IF(D6=0,0,D12/D6)</f>
        <v/>
      </c>
      <c r="E15" s="14">
        <f>IF(E6=0,0,E12/E6)</f>
        <v/>
      </c>
      <c r="F15" s="14">
        <f>IF(F6=0,0,F12/F6)</f>
        <v/>
      </c>
      <c r="G15" s="14">
        <f>IF(G6=0,0,G12/G6)</f>
        <v/>
      </c>
      <c r="H15" s="14">
        <f>IF(H6=0,0,H12/H6)</f>
        <v/>
      </c>
      <c r="I15" s="14">
        <f>IF(I6=0,0,I12/I6)</f>
        <v/>
      </c>
      <c r="J15" s="14">
        <f>IF(J6=0,0,J12/J6)</f>
        <v/>
      </c>
      <c r="K15" s="14">
        <f>IF(K6=0,0,K12/K6)</f>
        <v/>
      </c>
      <c r="O15" s="14">
        <f>IF(O6=0,0,O12/O6)</f>
        <v/>
      </c>
      <c r="P15" s="14">
        <f>IF(P6=0,0,P12/P6)</f>
        <v/>
      </c>
      <c r="Q15" s="14">
        <f>IF(Q6=0,0,Q12/Q6)</f>
        <v/>
      </c>
      <c r="R15" s="7" t="inlineStr"/>
    </row>
    <row r="16">
      <c r="A16" s="3" t="inlineStr">
        <is>
          <t>Debt and interest</t>
        </is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</row>
    <row r="17">
      <c r="A17" s="5" t="inlineStr">
        <is>
          <t>Opening debt (carrying)</t>
        </is>
      </c>
      <c r="D17" s="29">
        <f>C24</f>
        <v/>
      </c>
      <c r="E17" s="29">
        <f>D24</f>
        <v/>
      </c>
      <c r="F17" s="29">
        <f>E24</f>
        <v/>
      </c>
      <c r="G17" s="29">
        <f>F24</f>
        <v/>
      </c>
      <c r="H17" s="29">
        <f>G24</f>
        <v/>
      </c>
      <c r="I17" s="29">
        <f>H24</f>
        <v/>
      </c>
      <c r="J17" s="29">
        <f>I24</f>
        <v/>
      </c>
      <c r="K17" s="29">
        <f>J24</f>
        <v/>
      </c>
      <c r="R17" s="7" t="inlineStr"/>
    </row>
    <row r="18">
      <c r="A18" s="5" t="inlineStr">
        <is>
          <t>Committed financing (net proceeds)</t>
        </is>
      </c>
      <c r="D18" s="29">
        <f>'Drivers'!D58</f>
        <v/>
      </c>
      <c r="E18" s="29">
        <f>'Drivers'!E58</f>
        <v/>
      </c>
      <c r="F18" s="29">
        <f>'Drivers'!F58</f>
        <v/>
      </c>
      <c r="G18" s="29">
        <f>'Drivers'!G58</f>
        <v/>
      </c>
      <c r="H18" s="29">
        <f>'Drivers'!H58</f>
        <v/>
      </c>
      <c r="I18" s="29">
        <f>'Drivers'!I58</f>
        <v/>
      </c>
      <c r="J18" s="29">
        <f>'Drivers'!J58</f>
        <v/>
      </c>
      <c r="K18" s="29">
        <f>'Drivers'!K58</f>
        <v/>
      </c>
      <c r="N18" s="29">
        <f>D18+E18</f>
        <v/>
      </c>
      <c r="O18" s="29">
        <f>SUM(F18:I18)</f>
        <v/>
      </c>
      <c r="P18" s="29">
        <f>J18</f>
        <v/>
      </c>
      <c r="Q18" s="29">
        <f>K18</f>
        <v/>
      </c>
      <c r="R18" s="7" t="inlineStr"/>
    </row>
    <row r="19">
      <c r="A19" s="5" t="inlineStr">
        <is>
          <t>Converted to equity (non-cash)</t>
        </is>
      </c>
      <c r="D19" s="29">
        <f>-'Drivers'!D59</f>
        <v/>
      </c>
      <c r="E19" s="29">
        <f>-'Drivers'!E59</f>
        <v/>
      </c>
      <c r="F19" s="29">
        <f>-'Drivers'!F59</f>
        <v/>
      </c>
      <c r="G19" s="29">
        <f>-'Drivers'!G59</f>
        <v/>
      </c>
      <c r="H19" s="29">
        <f>-'Drivers'!H59</f>
        <v/>
      </c>
      <c r="I19" s="29">
        <f>-'Drivers'!I59</f>
        <v/>
      </c>
      <c r="J19" s="29">
        <f>-'Drivers'!J59</f>
        <v/>
      </c>
      <c r="K19" s="29">
        <f>-'Drivers'!K59</f>
        <v/>
      </c>
      <c r="N19" s="29">
        <f>D19+E19</f>
        <v/>
      </c>
      <c r="O19" s="29">
        <f>SUM(F19:I19)</f>
        <v/>
      </c>
      <c r="P19" s="29">
        <f>J19</f>
        <v/>
      </c>
      <c r="Q19" s="29">
        <f>K19</f>
        <v/>
      </c>
      <c r="R19" s="7" t="inlineStr"/>
    </row>
    <row r="20">
      <c r="A20" s="5" t="inlineStr">
        <is>
          <t>Interest expense</t>
        </is>
      </c>
      <c r="D20" s="29">
        <f>(D17+0.5*(D18+D19))*'Drivers'!D51*'Drivers'!D7</f>
        <v/>
      </c>
      <c r="E20" s="29">
        <f>(E17+0.5*(E18+E19))*'Drivers'!E51*'Drivers'!E7</f>
        <v/>
      </c>
      <c r="F20" s="29">
        <f>(F17+0.5*(F18+F19))*'Drivers'!F51*'Drivers'!F7</f>
        <v/>
      </c>
      <c r="G20" s="29">
        <f>(G17+0.5*(G18+G19))*'Drivers'!G51*'Drivers'!G7</f>
        <v/>
      </c>
      <c r="H20" s="29">
        <f>(H17+0.5*(H18+H19))*'Drivers'!H51*'Drivers'!H7</f>
        <v/>
      </c>
      <c r="I20" s="29">
        <f>(I17+0.5*(I18+I19))*'Drivers'!I51*'Drivers'!I7</f>
        <v/>
      </c>
      <c r="J20" s="29">
        <f>(J17+0.5*(J18+J19))*'Drivers'!J51*'Drivers'!J7</f>
        <v/>
      </c>
      <c r="K20" s="29">
        <f>(K17+0.5*(K18+K19))*'Drivers'!K51*'Drivers'!K7</f>
        <v/>
      </c>
      <c r="N20" s="29">
        <f>-('Inputs &amp; Sources'!$F$63+'Inputs &amp; Sources'!$G$63)+D20+E20</f>
        <v/>
      </c>
      <c r="O20" s="29">
        <f>SUM(F20:I20)</f>
        <v/>
      </c>
      <c r="P20" s="29">
        <f>J20</f>
        <v/>
      </c>
      <c r="Q20" s="29">
        <f>K20</f>
        <v/>
      </c>
      <c r="R20" s="7" t="inlineStr">
        <is>
          <t>(Opening debt + 50% of committed/exchanged in period) x rate. New plug debt bears interest from the following period (avoids circularity).</t>
        </is>
      </c>
    </row>
    <row r="21">
      <c r="A21" s="5" t="inlineStr">
        <is>
          <t xml:space="preserve">  of which non-cash accretion (added to debt)</t>
        </is>
      </c>
      <c r="D21" s="29">
        <f>D20*'Drivers'!D52</f>
        <v/>
      </c>
      <c r="E21" s="29">
        <f>E20*'Drivers'!E52</f>
        <v/>
      </c>
      <c r="F21" s="29">
        <f>F20*'Drivers'!F52</f>
        <v/>
      </c>
      <c r="G21" s="29">
        <f>G20*'Drivers'!G52</f>
        <v/>
      </c>
      <c r="H21" s="29">
        <f>H20*'Drivers'!H52</f>
        <v/>
      </c>
      <c r="I21" s="29">
        <f>I20*'Drivers'!I52</f>
        <v/>
      </c>
      <c r="J21" s="29">
        <f>J20*'Drivers'!J52</f>
        <v/>
      </c>
      <c r="K21" s="29">
        <f>K20*'Drivers'!K52</f>
        <v/>
      </c>
      <c r="N21" s="29">
        <f>D21+E21</f>
        <v/>
      </c>
      <c r="O21" s="29">
        <f>SUM(F21:I21)</f>
        <v/>
      </c>
      <c r="P21" s="29">
        <f>J21</f>
        <v/>
      </c>
      <c r="Q21" s="29">
        <f>K21</f>
        <v/>
      </c>
      <c r="R21" s="7" t="inlineStr"/>
    </row>
    <row r="22">
      <c r="A22" s="5" t="inlineStr">
        <is>
          <t xml:space="preserve">  of which cash interest</t>
        </is>
      </c>
      <c r="D22" s="29">
        <f>D20-D21</f>
        <v/>
      </c>
      <c r="E22" s="29">
        <f>E20-E21</f>
        <v/>
      </c>
      <c r="F22" s="29">
        <f>F20-F21</f>
        <v/>
      </c>
      <c r="G22" s="29">
        <f>G20-G21</f>
        <v/>
      </c>
      <c r="H22" s="29">
        <f>H20-H21</f>
        <v/>
      </c>
      <c r="I22" s="29">
        <f>I20-I21</f>
        <v/>
      </c>
      <c r="J22" s="29">
        <f>J20-J21</f>
        <v/>
      </c>
      <c r="K22" s="29">
        <f>K20-K21</f>
        <v/>
      </c>
      <c r="N22" s="29">
        <f>D22+E22</f>
        <v/>
      </c>
      <c r="O22" s="29">
        <f>SUM(F22:I22)</f>
        <v/>
      </c>
      <c r="P22" s="29">
        <f>J22</f>
        <v/>
      </c>
      <c r="Q22" s="29">
        <f>K22</f>
        <v/>
      </c>
      <c r="R22" s="7" t="inlineStr"/>
    </row>
    <row r="23">
      <c r="A23" s="5" t="inlineStr">
        <is>
          <t>New debt raised (funding plug)</t>
        </is>
      </c>
      <c r="D23" s="29">
        <f>D34</f>
        <v/>
      </c>
      <c r="E23" s="29">
        <f>E34</f>
        <v/>
      </c>
      <c r="F23" s="29">
        <f>F34</f>
        <v/>
      </c>
      <c r="G23" s="29">
        <f>G34</f>
        <v/>
      </c>
      <c r="H23" s="29">
        <f>H34</f>
        <v/>
      </c>
      <c r="I23" s="29">
        <f>I34</f>
        <v/>
      </c>
      <c r="J23" s="29">
        <f>J34</f>
        <v/>
      </c>
      <c r="K23" s="29">
        <f>K34</f>
        <v/>
      </c>
      <c r="N23" s="29">
        <f>D23+E23</f>
        <v/>
      </c>
      <c r="O23" s="29">
        <f>SUM(F23:I23)</f>
        <v/>
      </c>
      <c r="P23" s="29">
        <f>J23</f>
        <v/>
      </c>
      <c r="Q23" s="29">
        <f>K23</f>
        <v/>
      </c>
      <c r="R23" s="7" t="inlineStr"/>
    </row>
    <row r="24">
      <c r="A24" s="8" t="inlineStr">
        <is>
          <t>Closing debt (carrying)</t>
        </is>
      </c>
      <c r="C24" s="28">
        <f>'Inputs &amp; Sources'!$B$92</f>
        <v/>
      </c>
      <c r="D24" s="28">
        <f>D17+D18+D19+D21+D23</f>
        <v/>
      </c>
      <c r="E24" s="28">
        <f>E17+E18+E19+E21+E23</f>
        <v/>
      </c>
      <c r="F24" s="28">
        <f>F17+F18+F19+F21+F23</f>
        <v/>
      </c>
      <c r="G24" s="28">
        <f>G17+G18+G19+G21+G23</f>
        <v/>
      </c>
      <c r="H24" s="28">
        <f>H17+H18+H19+H21+H23</f>
        <v/>
      </c>
      <c r="I24" s="28">
        <f>I17+I18+I19+I21+I23</f>
        <v/>
      </c>
      <c r="J24" s="28">
        <f>J17+J18+J19+J21+J23</f>
        <v/>
      </c>
      <c r="K24" s="28">
        <f>K17+K18+K19+K21+K23</f>
        <v/>
      </c>
      <c r="N24" s="29">
        <f>E24</f>
        <v/>
      </c>
      <c r="O24" s="29">
        <f>I24</f>
        <v/>
      </c>
      <c r="P24" s="29">
        <f>J24</f>
        <v/>
      </c>
      <c r="Q24" s="29">
        <f>K24</f>
        <v/>
      </c>
      <c r="R24" s="7" t="inlineStr"/>
    </row>
    <row r="25">
      <c r="A25" s="5" t="inlineStr">
        <is>
          <t>Interest income on opening cash</t>
        </is>
      </c>
      <c r="D25" s="29">
        <f>'Balance Sheet'!C5*'Drivers'!D53*'Drivers'!D7</f>
        <v/>
      </c>
      <c r="E25" s="29">
        <f>'Balance Sheet'!D5*'Drivers'!E53*'Drivers'!E7</f>
        <v/>
      </c>
      <c r="F25" s="29">
        <f>'Balance Sheet'!E5*'Drivers'!F53*'Drivers'!F7</f>
        <v/>
      </c>
      <c r="G25" s="29">
        <f>'Balance Sheet'!F5*'Drivers'!G53*'Drivers'!G7</f>
        <v/>
      </c>
      <c r="H25" s="29">
        <f>'Balance Sheet'!G5*'Drivers'!H53*'Drivers'!H7</f>
        <v/>
      </c>
      <c r="I25" s="29">
        <f>'Balance Sheet'!H5*'Drivers'!I53*'Drivers'!I7</f>
        <v/>
      </c>
      <c r="J25" s="29">
        <f>'Balance Sheet'!I5*'Drivers'!J53*'Drivers'!J7</f>
        <v/>
      </c>
      <c r="K25" s="29">
        <f>'Balance Sheet'!J5*'Drivers'!K53*'Drivers'!K7</f>
        <v/>
      </c>
      <c r="N25" s="29">
        <f>('Inputs &amp; Sources'!$F$62+'Inputs &amp; Sources'!$G$62)+D25+E25</f>
        <v/>
      </c>
      <c r="O25" s="29">
        <f>SUM(F25:I25)</f>
        <v/>
      </c>
      <c r="P25" s="29">
        <f>J25</f>
        <v/>
      </c>
      <c r="Q25" s="29">
        <f>K25</f>
        <v/>
      </c>
      <c r="R25" s="7" t="inlineStr"/>
    </row>
    <row r="26">
      <c r="A26" s="3" t="inlineStr">
        <is>
          <t>Funding waterfall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</row>
    <row r="27">
      <c r="A27" s="5" t="inlineStr">
        <is>
          <t>Opening cash</t>
        </is>
      </c>
      <c r="D27" s="29">
        <f>'Balance Sheet'!C5</f>
        <v/>
      </c>
      <c r="E27" s="29">
        <f>'Balance Sheet'!D5</f>
        <v/>
      </c>
      <c r="F27" s="29">
        <f>'Balance Sheet'!E5</f>
        <v/>
      </c>
      <c r="G27" s="29">
        <f>'Balance Sheet'!F5</f>
        <v/>
      </c>
      <c r="H27" s="29">
        <f>'Balance Sheet'!G5</f>
        <v/>
      </c>
      <c r="I27" s="29">
        <f>'Balance Sheet'!H5</f>
        <v/>
      </c>
      <c r="J27" s="29">
        <f>'Balance Sheet'!I5</f>
        <v/>
      </c>
      <c r="K27" s="29">
        <f>'Balance Sheet'!J5</f>
        <v/>
      </c>
      <c r="R27" s="7" t="inlineStr"/>
    </row>
    <row r="28">
      <c r="A28" s="5" t="inlineStr">
        <is>
          <t>Cash from operations</t>
        </is>
      </c>
      <c r="D28" s="29">
        <f>'Cash Flow'!D14</f>
        <v/>
      </c>
      <c r="E28" s="29">
        <f>'Cash Flow'!E14</f>
        <v/>
      </c>
      <c r="F28" s="29">
        <f>'Cash Flow'!F14</f>
        <v/>
      </c>
      <c r="G28" s="29">
        <f>'Cash Flow'!G14</f>
        <v/>
      </c>
      <c r="H28" s="29">
        <f>'Cash Flow'!H14</f>
        <v/>
      </c>
      <c r="I28" s="29">
        <f>'Cash Flow'!I14</f>
        <v/>
      </c>
      <c r="J28" s="29">
        <f>'Cash Flow'!J14</f>
        <v/>
      </c>
      <c r="K28" s="29">
        <f>'Cash Flow'!K14</f>
        <v/>
      </c>
      <c r="N28" s="29">
        <f>D28+E28</f>
        <v/>
      </c>
      <c r="O28" s="29">
        <f>SUM(F28:I28)</f>
        <v/>
      </c>
      <c r="P28" s="29">
        <f>J28</f>
        <v/>
      </c>
      <c r="Q28" s="29">
        <f>K28</f>
        <v/>
      </c>
      <c r="R28" s="7" t="inlineStr"/>
    </row>
    <row r="29">
      <c r="A29" s="5" t="inlineStr">
        <is>
          <t>Cash from investing</t>
        </is>
      </c>
      <c r="D29" s="29">
        <f>'Cash Flow'!D17</f>
        <v/>
      </c>
      <c r="E29" s="29">
        <f>'Cash Flow'!E17</f>
        <v/>
      </c>
      <c r="F29" s="29">
        <f>'Cash Flow'!F17</f>
        <v/>
      </c>
      <c r="G29" s="29">
        <f>'Cash Flow'!G17</f>
        <v/>
      </c>
      <c r="H29" s="29">
        <f>'Cash Flow'!H17</f>
        <v/>
      </c>
      <c r="I29" s="29">
        <f>'Cash Flow'!I17</f>
        <v/>
      </c>
      <c r="J29" s="29">
        <f>'Cash Flow'!J17</f>
        <v/>
      </c>
      <c r="K29" s="29">
        <f>'Cash Flow'!K17</f>
        <v/>
      </c>
      <c r="N29" s="29">
        <f>D29+E29</f>
        <v/>
      </c>
      <c r="O29" s="29">
        <f>SUM(F29:I29)</f>
        <v/>
      </c>
      <c r="P29" s="29">
        <f>J29</f>
        <v/>
      </c>
      <c r="Q29" s="29">
        <f>K29</f>
        <v/>
      </c>
      <c r="R29" s="7" t="inlineStr"/>
    </row>
    <row r="30">
      <c r="A30" s="5" t="inlineStr">
        <is>
          <t>Committed financing</t>
        </is>
      </c>
      <c r="D30" s="29">
        <f>D18</f>
        <v/>
      </c>
      <c r="E30" s="29">
        <f>E18</f>
        <v/>
      </c>
      <c r="F30" s="29">
        <f>F18</f>
        <v/>
      </c>
      <c r="G30" s="29">
        <f>G18</f>
        <v/>
      </c>
      <c r="H30" s="29">
        <f>H18</f>
        <v/>
      </c>
      <c r="I30" s="29">
        <f>I18</f>
        <v/>
      </c>
      <c r="J30" s="29">
        <f>J18</f>
        <v/>
      </c>
      <c r="K30" s="29">
        <f>K18</f>
        <v/>
      </c>
      <c r="N30" s="29">
        <f>D30+E30</f>
        <v/>
      </c>
      <c r="O30" s="29">
        <f>SUM(F30:I30)</f>
        <v/>
      </c>
      <c r="P30" s="29">
        <f>J30</f>
        <v/>
      </c>
      <c r="Q30" s="29">
        <f>K30</f>
        <v/>
      </c>
      <c r="R30" s="7" t="inlineStr"/>
    </row>
    <row r="31">
      <c r="A31" s="8" t="inlineStr">
        <is>
          <t>Cash before new external funding</t>
        </is>
      </c>
      <c r="D31" s="28">
        <f>D27+D28+D29+D30</f>
        <v/>
      </c>
      <c r="E31" s="28">
        <f>E27+E28+E29+E30</f>
        <v/>
      </c>
      <c r="F31" s="28">
        <f>F27+F28+F29+F30</f>
        <v/>
      </c>
      <c r="G31" s="28">
        <f>G27+G28+G29+G30</f>
        <v/>
      </c>
      <c r="H31" s="28">
        <f>H27+H28+H29+H30</f>
        <v/>
      </c>
      <c r="I31" s="28">
        <f>I27+I28+I29+I30</f>
        <v/>
      </c>
      <c r="J31" s="28">
        <f>J27+J28+J29+J30</f>
        <v/>
      </c>
      <c r="K31" s="28">
        <f>K27+K28+K29+K30</f>
        <v/>
      </c>
      <c r="R31" s="7" t="inlineStr"/>
    </row>
    <row r="32">
      <c r="A32" s="5" t="inlineStr">
        <is>
          <t>Minimum cash</t>
        </is>
      </c>
      <c r="D32" s="29">
        <f>'Drivers'!D55</f>
        <v/>
      </c>
      <c r="E32" s="29">
        <f>'Drivers'!E55</f>
        <v/>
      </c>
      <c r="F32" s="29">
        <f>'Drivers'!F55</f>
        <v/>
      </c>
      <c r="G32" s="29">
        <f>'Drivers'!G55</f>
        <v/>
      </c>
      <c r="H32" s="29">
        <f>'Drivers'!H55</f>
        <v/>
      </c>
      <c r="I32" s="29">
        <f>'Drivers'!I55</f>
        <v/>
      </c>
      <c r="J32" s="29">
        <f>'Drivers'!J55</f>
        <v/>
      </c>
      <c r="K32" s="29">
        <f>'Drivers'!K55</f>
        <v/>
      </c>
      <c r="R32" s="7" t="inlineStr"/>
    </row>
    <row r="33">
      <c r="A33" s="8" t="inlineStr">
        <is>
          <t>Funding shortfall</t>
        </is>
      </c>
      <c r="D33" s="28">
        <f>MAX(0,D32-D31)</f>
        <v/>
      </c>
      <c r="E33" s="28">
        <f>MAX(0,E32-E31)</f>
        <v/>
      </c>
      <c r="F33" s="28">
        <f>MAX(0,F32-F31)</f>
        <v/>
      </c>
      <c r="G33" s="28">
        <f>MAX(0,G32-G31)</f>
        <v/>
      </c>
      <c r="H33" s="28">
        <f>MAX(0,H32-H31)</f>
        <v/>
      </c>
      <c r="I33" s="28">
        <f>MAX(0,I32-I31)</f>
        <v/>
      </c>
      <c r="J33" s="28">
        <f>MAX(0,J32-J31)</f>
        <v/>
      </c>
      <c r="K33" s="28">
        <f>MAX(0,K32-K31)</f>
        <v/>
      </c>
      <c r="N33" s="29">
        <f>D33+E33</f>
        <v/>
      </c>
      <c r="O33" s="29">
        <f>SUM(F33:I33)</f>
        <v/>
      </c>
      <c r="P33" s="29">
        <f>J33</f>
        <v/>
      </c>
      <c r="Q33" s="29">
        <f>K33</f>
        <v/>
      </c>
      <c r="R33" s="7" t="inlineStr"/>
    </row>
    <row r="34">
      <c r="A34" s="5" t="inlineStr">
        <is>
          <t xml:space="preserve">  New debt (shortfall x debt share)</t>
        </is>
      </c>
      <c r="D34" s="29">
        <f>D33*'Drivers'!D56</f>
        <v/>
      </c>
      <c r="E34" s="29">
        <f>E33*'Drivers'!E56</f>
        <v/>
      </c>
      <c r="F34" s="29">
        <f>F33*'Drivers'!F56</f>
        <v/>
      </c>
      <c r="G34" s="29">
        <f>G33*'Drivers'!G56</f>
        <v/>
      </c>
      <c r="H34" s="29">
        <f>H33*'Drivers'!H56</f>
        <v/>
      </c>
      <c r="I34" s="29">
        <f>I33*'Drivers'!I56</f>
        <v/>
      </c>
      <c r="J34" s="29">
        <f>J33*'Drivers'!J56</f>
        <v/>
      </c>
      <c r="K34" s="29">
        <f>K33*'Drivers'!K56</f>
        <v/>
      </c>
      <c r="N34" s="29">
        <f>D34+E34</f>
        <v/>
      </c>
      <c r="O34" s="29">
        <f>SUM(F34:I34)</f>
        <v/>
      </c>
      <c r="P34" s="29">
        <f>J34</f>
        <v/>
      </c>
      <c r="Q34" s="29">
        <f>K34</f>
        <v/>
      </c>
      <c r="R34" s="7" t="inlineStr"/>
    </row>
    <row r="35">
      <c r="A35" s="5" t="inlineStr">
        <is>
          <t xml:space="preserve">  New equity (ATM)</t>
        </is>
      </c>
      <c r="D35" s="29">
        <f>D33-D34</f>
        <v/>
      </c>
      <c r="E35" s="29">
        <f>E33-E34</f>
        <v/>
      </c>
      <c r="F35" s="29">
        <f>F33-F34</f>
        <v/>
      </c>
      <c r="G35" s="29">
        <f>G33-G34</f>
        <v/>
      </c>
      <c r="H35" s="29">
        <f>H33-H34</f>
        <v/>
      </c>
      <c r="I35" s="29">
        <f>I33-I34</f>
        <v/>
      </c>
      <c r="J35" s="29">
        <f>J33-J34</f>
        <v/>
      </c>
      <c r="K35" s="29">
        <f>K33-K34</f>
        <v/>
      </c>
      <c r="N35" s="29">
        <f>D35+E35</f>
        <v/>
      </c>
      <c r="O35" s="29">
        <f>SUM(F35:I35)</f>
        <v/>
      </c>
      <c r="P35" s="29">
        <f>J35</f>
        <v/>
      </c>
      <c r="Q35" s="29">
        <f>K35</f>
        <v/>
      </c>
      <c r="R35" s="7" t="inlineStr"/>
    </row>
    <row r="36">
      <c r="A36" s="3" t="inlineStr">
        <is>
          <t>Share count (basic + pre-funded warrant; converts shown separately)</t>
        </is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</row>
    <row r="37">
      <c r="A37" s="5" t="inlineStr">
        <is>
          <t>Opening shares</t>
        </is>
      </c>
      <c r="D37" s="29">
        <f>C40</f>
        <v/>
      </c>
      <c r="E37" s="29">
        <f>D40</f>
        <v/>
      </c>
      <c r="F37" s="29">
        <f>E40</f>
        <v/>
      </c>
      <c r="G37" s="29">
        <f>F40</f>
        <v/>
      </c>
      <c r="H37" s="29">
        <f>G40</f>
        <v/>
      </c>
      <c r="I37" s="29">
        <f>H40</f>
        <v/>
      </c>
      <c r="J37" s="29">
        <f>I40</f>
        <v/>
      </c>
      <c r="K37" s="29">
        <f>J40</f>
        <v/>
      </c>
      <c r="R37" s="7" t="inlineStr"/>
    </row>
    <row r="38">
      <c r="A38" s="5" t="inlineStr">
        <is>
          <t xml:space="preserve">  Issued in note exchange</t>
        </is>
      </c>
      <c r="D38" s="29">
        <f>'Drivers'!D60</f>
        <v/>
      </c>
      <c r="E38" s="29">
        <f>'Drivers'!E60</f>
        <v/>
      </c>
      <c r="F38" s="29">
        <f>'Drivers'!F60</f>
        <v/>
      </c>
      <c r="G38" s="29">
        <f>'Drivers'!G60</f>
        <v/>
      </c>
      <c r="H38" s="29">
        <f>'Drivers'!H60</f>
        <v/>
      </c>
      <c r="I38" s="29">
        <f>'Drivers'!I60</f>
        <v/>
      </c>
      <c r="J38" s="29">
        <f>'Drivers'!J60</f>
        <v/>
      </c>
      <c r="K38" s="29">
        <f>'Drivers'!K60</f>
        <v/>
      </c>
      <c r="N38" s="29">
        <f>D38+E38</f>
        <v/>
      </c>
      <c r="O38" s="29">
        <f>SUM(F38:I38)</f>
        <v/>
      </c>
      <c r="P38" s="29">
        <f>J38</f>
        <v/>
      </c>
      <c r="Q38" s="29">
        <f>K38</f>
        <v/>
      </c>
      <c r="R38" s="7" t="inlineStr"/>
    </row>
    <row r="39">
      <c r="A39" s="5" t="inlineStr">
        <is>
          <t xml:space="preserve">  Issued via ATM (new equity / issue price)</t>
        </is>
      </c>
      <c r="D39" s="29">
        <f>D35/'Drivers'!D57</f>
        <v/>
      </c>
      <c r="E39" s="29">
        <f>E35/'Drivers'!E57</f>
        <v/>
      </c>
      <c r="F39" s="29">
        <f>F35/'Drivers'!F57</f>
        <v/>
      </c>
      <c r="G39" s="29">
        <f>G35/'Drivers'!G57</f>
        <v/>
      </c>
      <c r="H39" s="29">
        <f>H35/'Drivers'!H57</f>
        <v/>
      </c>
      <c r="I39" s="29">
        <f>I35/'Drivers'!I57</f>
        <v/>
      </c>
      <c r="J39" s="29">
        <f>J35/'Drivers'!J57</f>
        <v/>
      </c>
      <c r="K39" s="29">
        <f>K35/'Drivers'!K57</f>
        <v/>
      </c>
      <c r="N39" s="29">
        <f>D39+E39</f>
        <v/>
      </c>
      <c r="O39" s="29">
        <f>SUM(F39:I39)</f>
        <v/>
      </c>
      <c r="P39" s="29">
        <f>J39</f>
        <v/>
      </c>
      <c r="Q39" s="29">
        <f>K39</f>
        <v/>
      </c>
      <c r="R39" s="7" t="inlineStr"/>
    </row>
    <row r="40">
      <c r="A40" s="8" t="inlineStr">
        <is>
          <t>Closing shares</t>
        </is>
      </c>
      <c r="C40" s="28">
        <f>'Inputs &amp; Sources'!$B$8+'Inputs &amp; Sources'!$B$9+'Inputs &amp; Sources'!$B$11</f>
        <v/>
      </c>
      <c r="D40" s="28">
        <f>D37+D38+D39</f>
        <v/>
      </c>
      <c r="E40" s="28">
        <f>E37+E38+E39</f>
        <v/>
      </c>
      <c r="F40" s="28">
        <f>F37+F38+F39</f>
        <v/>
      </c>
      <c r="G40" s="28">
        <f>G37+G38+G39</f>
        <v/>
      </c>
      <c r="H40" s="28">
        <f>H37+H38+H39</f>
        <v/>
      </c>
      <c r="I40" s="28">
        <f>I37+I38+I39</f>
        <v/>
      </c>
      <c r="J40" s="28">
        <f>J37+J38+J39</f>
        <v/>
      </c>
      <c r="K40" s="28">
        <f>K37+K38+K39</f>
        <v/>
      </c>
      <c r="N40" s="29">
        <f>E40</f>
        <v/>
      </c>
      <c r="O40" s="29">
        <f>I40</f>
        <v/>
      </c>
      <c r="P40" s="29">
        <f>J40</f>
        <v/>
      </c>
      <c r="Q40" s="29">
        <f>K40</f>
        <v/>
      </c>
      <c r="R40" s="7" t="inlineStr">
        <is>
          <t>Jun-26A = Class A + Class B at AGM record date + NVIDIA pre-funded warrant.</t>
        </is>
      </c>
    </row>
    <row r="41">
      <c r="A41" s="5" t="inlineStr">
        <is>
          <t>Cumulative dilution from ATM vs Q3'26 opening</t>
        </is>
      </c>
      <c r="D41" s="14">
        <f>SUM($D39:D39)/($C40+$D38)</f>
        <v/>
      </c>
      <c r="E41" s="14">
        <f>SUM($D39:E39)/($C40+$D38)</f>
        <v/>
      </c>
      <c r="F41" s="14">
        <f>SUM($D39:F39)/($C40+$D38)</f>
        <v/>
      </c>
      <c r="G41" s="14">
        <f>SUM($D39:G39)/($C40+$D38)</f>
        <v/>
      </c>
      <c r="H41" s="14">
        <f>SUM($D39:H39)/($C40+$D38)</f>
        <v/>
      </c>
      <c r="I41" s="14">
        <f>SUM($D39:I39)/($C40+$D38)</f>
        <v/>
      </c>
      <c r="J41" s="14">
        <f>SUM($D39:J39)/($C40+$D38)</f>
        <v/>
      </c>
      <c r="K41" s="14">
        <f>SUM($D39:K39)/($C40+$D38)</f>
        <v/>
      </c>
      <c r="R41" s="7" t="inlineStr"/>
    </row>
    <row r="42"/>
    <row r="43">
      <c r="A43" s="3" t="inlineStr">
        <is>
          <t>Convertible tranches at current share price (if-converted test used in Valuation)</t>
        </is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</row>
    <row r="44">
      <c r="A44" s="13" t="inlineStr">
        <is>
          <t>Tranche</t>
        </is>
      </c>
      <c r="B44" s="13" t="inlineStr"/>
      <c r="C44" s="13" t="inlineStr">
        <is>
          <t>Principal</t>
        </is>
      </c>
      <c r="D44" s="13" t="inlineStr">
        <is>
          <t>Coupon</t>
        </is>
      </c>
      <c r="E44" s="13" t="inlineStr">
        <is>
          <t>Conv. px</t>
        </is>
      </c>
      <c r="F44" s="13" t="inlineStr">
        <is>
          <t>In the money?</t>
        </is>
      </c>
      <c r="G44" s="13" t="inlineStr">
        <is>
          <t>If-conv. shares (M)</t>
        </is>
      </c>
      <c r="H44" s="13" t="inlineStr">
        <is>
          <t>Debt if not conv.</t>
        </is>
      </c>
    </row>
    <row r="45">
      <c r="A45" s="5">
        <f>'Inputs &amp; Sources'!$A$22</f>
        <v/>
      </c>
      <c r="C45" s="29">
        <f>'Inputs &amp; Sources'!$B$22</f>
        <v/>
      </c>
      <c r="D45" s="33">
        <f>'Inputs &amp; Sources'!$C$22</f>
        <v/>
      </c>
      <c r="E45" s="10">
        <f>'Inputs &amp; Sources'!$D$22</f>
        <v/>
      </c>
      <c r="F45" s="34">
        <f>IF('Inputs &amp; Sources'!$B$6&gt;E45,1,0)</f>
        <v/>
      </c>
      <c r="G45" s="29">
        <f>IF(F45=1,C45/E45,0)</f>
        <v/>
      </c>
      <c r="H45" s="29">
        <f>IF(F45=1,0,C45)</f>
        <v/>
      </c>
    </row>
    <row r="46">
      <c r="A46" s="5">
        <f>'Inputs &amp; Sources'!$A$23</f>
        <v/>
      </c>
      <c r="C46" s="29">
        <f>'Inputs &amp; Sources'!$B$23</f>
        <v/>
      </c>
      <c r="D46" s="33">
        <f>'Inputs &amp; Sources'!$C$23</f>
        <v/>
      </c>
      <c r="E46" s="10">
        <f>'Inputs &amp; Sources'!$D$23</f>
        <v/>
      </c>
      <c r="F46" s="34">
        <f>IF('Inputs &amp; Sources'!$B$6&gt;E46,1,0)</f>
        <v/>
      </c>
      <c r="G46" s="29">
        <f>IF(F46=1,C46/E46,0)</f>
        <v/>
      </c>
      <c r="H46" s="29">
        <f>IF(F46=1,0,C46)</f>
        <v/>
      </c>
    </row>
    <row r="47">
      <c r="A47" s="5">
        <f>'Inputs &amp; Sources'!$A$24</f>
        <v/>
      </c>
      <c r="C47" s="29">
        <f>'Inputs &amp; Sources'!$B$24</f>
        <v/>
      </c>
      <c r="D47" s="33">
        <f>'Inputs &amp; Sources'!$C$24</f>
        <v/>
      </c>
      <c r="E47" s="10">
        <f>'Inputs &amp; Sources'!$D$24</f>
        <v/>
      </c>
      <c r="F47" s="34">
        <f>IF('Inputs &amp; Sources'!$B$6&gt;E47,1,0)</f>
        <v/>
      </c>
      <c r="G47" s="29">
        <f>IF(F47=1,C47/E47,0)</f>
        <v/>
      </c>
      <c r="H47" s="29">
        <f>IF(F47=1,0,C47)</f>
        <v/>
      </c>
    </row>
    <row r="48">
      <c r="A48" s="5">
        <f>'Inputs &amp; Sources'!$A$25</f>
        <v/>
      </c>
      <c r="C48" s="29">
        <f>'Inputs &amp; Sources'!$B$25</f>
        <v/>
      </c>
      <c r="D48" s="33">
        <f>'Inputs &amp; Sources'!$C$25</f>
        <v/>
      </c>
      <c r="E48" s="10">
        <f>'Inputs &amp; Sources'!$D$25</f>
        <v/>
      </c>
      <c r="F48" s="34">
        <f>IF('Inputs &amp; Sources'!$B$6&gt;E48,1,0)</f>
        <v/>
      </c>
      <c r="G48" s="29">
        <f>IF(F48=1,C48/E48,0)</f>
        <v/>
      </c>
      <c r="H48" s="29">
        <f>IF(F48=1,0,C48)</f>
        <v/>
      </c>
    </row>
    <row r="49">
      <c r="A49" s="5">
        <f>'Inputs &amp; Sources'!$A$26</f>
        <v/>
      </c>
      <c r="C49" s="29">
        <f>'Inputs &amp; Sources'!$B$26</f>
        <v/>
      </c>
      <c r="D49" s="33">
        <f>'Inputs &amp; Sources'!$C$26</f>
        <v/>
      </c>
      <c r="E49" s="10">
        <f>'Inputs &amp; Sources'!$D$26</f>
        <v/>
      </c>
      <c r="F49" s="34">
        <f>IF('Inputs &amp; Sources'!$B$6&gt;E49,1,0)</f>
        <v/>
      </c>
      <c r="G49" s="29">
        <f>IF(F49=1,C49/E49,0)</f>
        <v/>
      </c>
      <c r="H49" s="29">
        <f>IF(F49=1,0,C49)</f>
        <v/>
      </c>
    </row>
    <row r="50">
      <c r="A50" s="5">
        <f>'Inputs &amp; Sources'!$A$27</f>
        <v/>
      </c>
      <c r="C50" s="29">
        <f>'Inputs &amp; Sources'!$B$27</f>
        <v/>
      </c>
      <c r="D50" s="33">
        <f>'Inputs &amp; Sources'!$C$27</f>
        <v/>
      </c>
      <c r="E50" s="10">
        <f>'Inputs &amp; Sources'!$D$27</f>
        <v/>
      </c>
      <c r="F50" s="34">
        <f>IF('Inputs &amp; Sources'!$B$6&gt;E50,1,0)</f>
        <v/>
      </c>
      <c r="G50" s="29">
        <f>IF(F50=1,C50/E50,0)</f>
        <v/>
      </c>
      <c r="H50" s="29">
        <f>IF(F50=1,0,C50)</f>
        <v/>
      </c>
    </row>
    <row r="51">
      <c r="A51" s="5">
        <f>'Inputs &amp; Sources'!$A$28</f>
        <v/>
      </c>
      <c r="C51" s="29">
        <f>'Inputs &amp; Sources'!$B$28</f>
        <v/>
      </c>
      <c r="D51" s="33">
        <f>'Inputs &amp; Sources'!$C$28</f>
        <v/>
      </c>
      <c r="E51" s="10">
        <f>'Inputs &amp; Sources'!$D$28</f>
        <v/>
      </c>
      <c r="F51" s="34">
        <f>IF('Inputs &amp; Sources'!$B$6&gt;E51,1,0)</f>
        <v/>
      </c>
      <c r="G51" s="29">
        <f>IF(F51=1,C51/E51,0)</f>
        <v/>
      </c>
      <c r="H51" s="29">
        <f>IF(F51=1,0,C51)</f>
        <v/>
      </c>
    </row>
    <row r="52">
      <c r="A52" s="5">
        <f>'Inputs &amp; Sources'!$A$29</f>
        <v/>
      </c>
      <c r="C52" s="29">
        <f>'Inputs &amp; Sources'!$B$29</f>
        <v/>
      </c>
      <c r="D52" s="33">
        <f>'Inputs &amp; Sources'!$C$29</f>
        <v/>
      </c>
      <c r="E52" s="10">
        <f>'Inputs &amp; Sources'!$D$29</f>
        <v/>
      </c>
      <c r="F52" s="34">
        <f>IF('Inputs &amp; Sources'!$B$6&gt;E52,1,0)</f>
        <v/>
      </c>
      <c r="G52" s="29">
        <f>IF(F52=1,C52/E52,0)</f>
        <v/>
      </c>
      <c r="H52" s="29">
        <f>IF(F52=1,0,C52)</f>
        <v/>
      </c>
    </row>
    <row r="53">
      <c r="A53" s="8" t="inlineStr">
        <is>
          <t>Total convertibles</t>
        </is>
      </c>
      <c r="C53" s="28">
        <f>SUM(C45:C52)</f>
        <v/>
      </c>
      <c r="G53" s="28">
        <f>SUM(G45:G52)</f>
        <v/>
      </c>
      <c r="H53" s="28">
        <f>SUM(H45:H52)</f>
        <v/>
      </c>
    </row>
    <row r="54">
      <c r="A54" s="5" t="inlineStr">
        <is>
          <t>Secured facility (Jul-26)</t>
        </is>
      </c>
      <c r="C54" s="29">
        <f>'Inputs &amp; Sources'!$B$15</f>
        <v/>
      </c>
      <c r="H54" s="29">
        <f>C54</f>
        <v/>
      </c>
    </row>
    <row r="55">
      <c r="A55" s="5" t="inlineStr">
        <is>
          <t>Other debt / carrying adj. at Jun-30-26 (carrying less convert principal)</t>
        </is>
      </c>
      <c r="C55" s="29">
        <f>'Inputs &amp; Sources'!$B$92-SUM('Inputs &amp; Sources'!$F$22:'Inputs &amp; Sources'!$F$29)</f>
        <v/>
      </c>
      <c r="H55" s="29">
        <f>C55</f>
        <v/>
      </c>
    </row>
    <row r="56">
      <c r="A56" s="8" t="inlineStr">
        <is>
          <t>Total debt principal, pro forma (Jun-26 + Jul/Aug financing - exchange)</t>
        </is>
      </c>
      <c r="C56" s="28">
        <f>C53+C54+C55</f>
        <v/>
      </c>
      <c r="H56" s="28">
        <f>H53+H54+H55</f>
        <v/>
      </c>
      <c r="R56" s="7" t="inlineStr">
        <is>
          <t>H = debt remaining after in-the-money converts are treated as shares.</t>
        </is>
      </c>
    </row>
    <row r="57"/>
    <row r="58">
      <c r="A58" s="3" t="inlineStr">
        <is>
          <t>Sources &amp; uses of cash, Q3'26E-FY2029E cumulative</t>
        </is>
      </c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  <c r="R58" s="4" t="n"/>
    </row>
    <row r="59">
      <c r="A59" s="5" t="inlineStr">
        <is>
          <t>Uses: capex</t>
        </is>
      </c>
      <c r="C59" s="29">
        <f>SUM(D6:K6)</f>
        <v/>
      </c>
      <c r="D59" s="14">
        <f>C59/$C$59</f>
        <v/>
      </c>
    </row>
    <row r="60">
      <c r="A60" s="5" t="inlineStr">
        <is>
          <t>Sources: customer prepayments received</t>
        </is>
      </c>
      <c r="C60" s="29">
        <f>SUM(D12:K12)</f>
        <v/>
      </c>
      <c r="D60" s="14">
        <f>C60/$C$59</f>
        <v/>
      </c>
    </row>
    <row r="61">
      <c r="A61" s="5" t="inlineStr">
        <is>
          <t>Sources: operating cash flow excl. prepayment effects</t>
        </is>
      </c>
      <c r="C61" s="29">
        <f>SUM(D28:K28)-SUM(D12:K12)+SUM(D13:K13)</f>
        <v/>
      </c>
      <c r="D61" s="14">
        <f>C61/$C$59</f>
        <v/>
      </c>
    </row>
    <row r="62">
      <c r="A62" s="5" t="inlineStr">
        <is>
          <t>Less: prepaid revenue recognized (non-cash)</t>
        </is>
      </c>
      <c r="C62" s="29">
        <f>-SUM(D13:K13)</f>
        <v/>
      </c>
      <c r="D62" s="14">
        <f>C62/$C$59</f>
        <v/>
      </c>
    </row>
    <row r="63">
      <c r="A63" s="5" t="inlineStr">
        <is>
          <t>Sources: committed financing (Jul/Aug-26)</t>
        </is>
      </c>
      <c r="C63" s="29">
        <f>SUM(D18:K18)</f>
        <v/>
      </c>
      <c r="D63" s="14">
        <f>C63/$C$59</f>
        <v/>
      </c>
    </row>
    <row r="64">
      <c r="A64" s="5" t="inlineStr">
        <is>
          <t>Sources: new debt</t>
        </is>
      </c>
      <c r="C64" s="29">
        <f>SUM(D34:K34)</f>
        <v/>
      </c>
      <c r="D64" s="14">
        <f>C64/$C$59</f>
        <v/>
      </c>
    </row>
    <row r="65">
      <c r="A65" s="5" t="inlineStr">
        <is>
          <t>Sources: new equity</t>
        </is>
      </c>
      <c r="C65" s="29">
        <f>SUM(D35:K35)</f>
        <v/>
      </c>
      <c r="D65" s="14">
        <f>C65/$C$59</f>
        <v/>
      </c>
    </row>
    <row r="66">
      <c r="A66" s="5" t="inlineStr">
        <is>
          <t>Sources: (increase)/decrease in cash</t>
        </is>
      </c>
      <c r="C66" s="29">
        <f>'Balance Sheet'!C5-'Balance Sheet'!K5</f>
        <v/>
      </c>
      <c r="D66" s="14">
        <f>C66/$C$59</f>
        <v/>
      </c>
    </row>
    <row r="67">
      <c r="A67" s="8" t="inlineStr">
        <is>
          <t>Check: sources - uses (should be 0)</t>
        </is>
      </c>
      <c r="C67" s="28">
        <f>ROUND(SUM(C60:C66)-C59,3)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60" customWidth="1" min="15" max="15"/>
  </cols>
  <sheetData>
    <row r="1">
      <c r="A1" s="1" t="inlineStr">
        <is>
          <t>Valuation</t>
        </is>
      </c>
    </row>
    <row r="2">
      <c r="A2" s="2" t="inlineStr">
        <is>
          <t>Pro forma capitalization, trading comps, WACC build, DCF (exit multiple + Gordon cross-check), sensitivity. $M unless noted.</t>
        </is>
      </c>
    </row>
    <row r="4">
      <c r="A4" s="3" t="inlineStr">
        <is>
          <t>1. NBIS pro forma capitalization (Jun-30-26 balance sheet + Jul/Aug-26 financings; price at valuation date)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5">
      <c r="A5" s="5" t="inlineStr">
        <is>
          <t>Share price ($)</t>
        </is>
      </c>
      <c r="B5" s="10">
        <f>'Inputs &amp; Sources'!$B$6</f>
        <v/>
      </c>
      <c r="C5" s="7" t="inlineStr"/>
    </row>
    <row r="6">
      <c r="A6" s="5" t="inlineStr">
        <is>
          <t>Class A + Class B shares (M)</t>
        </is>
      </c>
      <c r="B6" s="29">
        <f>'Inputs &amp; Sources'!$B$8+'Inputs &amp; Sources'!$B$9</f>
        <v/>
      </c>
      <c r="C6" s="7" t="inlineStr"/>
    </row>
    <row r="7">
      <c r="A7" s="5" t="inlineStr">
        <is>
          <t>+ Aug-26 exchange shares (M)</t>
        </is>
      </c>
      <c r="B7" s="29">
        <f>'Inputs &amp; Sources'!$B$10</f>
        <v/>
      </c>
      <c r="C7" s="7" t="inlineStr"/>
    </row>
    <row r="8">
      <c r="A8" s="5" t="inlineStr">
        <is>
          <t>+ NVIDIA pre-funded warrant (M)</t>
        </is>
      </c>
      <c r="B8" s="29">
        <f>'Inputs &amp; Sources'!$B$11</f>
        <v/>
      </c>
      <c r="C8" s="7" t="inlineStr"/>
    </row>
    <row r="9">
      <c r="A9" s="5" t="inlineStr">
        <is>
          <t>+ In-the-money convertibles, if-converted (M)</t>
        </is>
      </c>
      <c r="B9" s="29">
        <f>'Capex &amp; Funding'!G53</f>
        <v/>
      </c>
      <c r="C9" s="7" t="inlineStr">
        <is>
          <t>Options/RSUs not included (20-F detail not captured) - data gap.</t>
        </is>
      </c>
    </row>
    <row r="10">
      <c r="A10" s="8" t="inlineStr">
        <is>
          <t>Diluted shares (M)</t>
        </is>
      </c>
      <c r="B10" s="28">
        <f>SUM(B6:B9)</f>
        <v/>
      </c>
      <c r="C10" s="7" t="inlineStr"/>
    </row>
    <row r="11">
      <c r="A11" s="8" t="inlineStr">
        <is>
          <t>Equity value (diluted)</t>
        </is>
      </c>
      <c r="B11" s="28">
        <f>B5*B10</f>
        <v/>
      </c>
      <c r="C11" s="7" t="inlineStr"/>
    </row>
    <row r="12">
      <c r="A12" s="5" t="inlineStr">
        <is>
          <t>+ Debt not converted (OTM converts + secured facility + other)</t>
        </is>
      </c>
      <c r="B12" s="29">
        <f>'Capex &amp; Funding'!H56</f>
        <v/>
      </c>
      <c r="C12" s="7" t="inlineStr"/>
    </row>
    <row r="13">
      <c r="A13" s="5" t="inlineStr">
        <is>
          <t>- Cash, pro forma (Jun-26 cash + Aug-26 net converts + Jul-26 facility)</t>
        </is>
      </c>
      <c r="B13" s="29">
        <f>'Inputs &amp; Sources'!$B$82+'Inputs &amp; Sources'!$B$14+'Inputs &amp; Sources'!$B$15</f>
        <v/>
      </c>
      <c r="C13" s="7" t="inlineStr">
        <is>
          <t>Q3-26 operating burn not reflected (Q3 results due Nov-26).</t>
        </is>
      </c>
    </row>
    <row r="14">
      <c r="A14" s="5" t="inlineStr">
        <is>
          <t>- Non-operating investments (carrying value, incl. ClickHouse stake)</t>
        </is>
      </c>
      <c r="B14" s="29">
        <f>'Inputs &amp; Sources'!$B$88</f>
        <v/>
      </c>
      <c r="C14" s="7" t="inlineStr">
        <is>
          <t>Carrying value; ClickHouse raised at ~$15B valuation (S2) - potential hidden value.</t>
        </is>
      </c>
    </row>
    <row r="15">
      <c r="A15" s="8" t="inlineStr">
        <is>
          <t>Enterprise value</t>
        </is>
      </c>
      <c r="B15" s="28">
        <f>B11+B12-B13-B14</f>
        <v/>
      </c>
      <c r="C15" s="7" t="inlineStr"/>
    </row>
    <row r="17">
      <c r="A17" s="3" t="inlineStr">
        <is>
          <t>2. Trading comparables (close 2026-10-14)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13" t="inlineStr">
        <is>
          <t>Company</t>
        </is>
      </c>
      <c r="B18" s="18" t="inlineStr">
        <is>
          <t>Price</t>
        </is>
      </c>
      <c r="C18" s="18" t="inlineStr">
        <is>
          <t>Shares M</t>
        </is>
      </c>
      <c r="D18" s="18" t="inlineStr">
        <is>
          <t>Mkt cap</t>
        </is>
      </c>
      <c r="E18" s="18" t="inlineStr">
        <is>
          <t>Cash</t>
        </is>
      </c>
      <c r="F18" s="18" t="inlineStr">
        <is>
          <t>Debt</t>
        </is>
      </c>
      <c r="G18" s="18" t="inlineStr">
        <is>
          <t>EV</t>
        </is>
      </c>
      <c r="H18" s="18" t="inlineStr">
        <is>
          <t>Fwd revenue</t>
        </is>
      </c>
      <c r="I18" s="18" t="inlineStr">
        <is>
          <t>Fwd EBITDA</t>
        </is>
      </c>
      <c r="J18" s="18" t="inlineStr">
        <is>
          <t>Run-rate</t>
        </is>
      </c>
      <c r="K18" s="18" t="inlineStr">
        <is>
          <t>EV/Rev</t>
        </is>
      </c>
      <c r="L18" s="18" t="inlineStr">
        <is>
          <t>EV/EBITDA</t>
        </is>
      </c>
      <c r="M18" s="18" t="inlineStr">
        <is>
          <t>EV/Run-rate</t>
        </is>
      </c>
      <c r="N18" s="18" t="inlineStr"/>
      <c r="O18" s="18" t="inlineStr">
        <is>
          <t>Basis</t>
        </is>
      </c>
    </row>
    <row r="19">
      <c r="A19" s="5">
        <f>'Inputs &amp; Sources'!$A$103</f>
        <v/>
      </c>
      <c r="B19" s="10">
        <f>'Inputs &amp; Sources'!$B$103</f>
        <v/>
      </c>
      <c r="C19" s="29">
        <f>'Inputs &amp; Sources'!$C$103</f>
        <v/>
      </c>
      <c r="D19" s="12">
        <f>B19*C19</f>
        <v/>
      </c>
      <c r="E19" s="12">
        <f>'Inputs &amp; Sources'!$D$103</f>
        <v/>
      </c>
      <c r="F19" s="12">
        <f>'Inputs &amp; Sources'!$E$103</f>
        <v/>
      </c>
      <c r="G19" s="12">
        <f>D19-E19+F19</f>
        <v/>
      </c>
      <c r="H19" s="12">
        <f>'Inputs &amp; Sources'!$F$103</f>
        <v/>
      </c>
      <c r="I19" s="12">
        <f>H19*'Inputs &amp; Sources'!$B$106</f>
        <v/>
      </c>
      <c r="J19" s="12">
        <f>'Inputs &amp; Sources'!$H$103</f>
        <v/>
      </c>
      <c r="K19" s="30">
        <f>IF(ISNUMBER(H19),G19/H19,"n.a.")</f>
        <v/>
      </c>
      <c r="L19" s="30">
        <f>IF(ISNUMBER(I19),G19/I19,"n.m.")</f>
        <v/>
      </c>
      <c r="M19" s="30">
        <f>IF(ISNUMBER(J19),G19/J19,"n.a.")</f>
        <v/>
      </c>
      <c r="O19" s="7" t="inlineStr">
        <is>
          <t>FY26E guide mid; EBITDA = Q2-26 margin x revenue (assumption); YE26 run-rate guide mid.</t>
        </is>
      </c>
    </row>
    <row r="20">
      <c r="A20" s="5">
        <f>'Inputs &amp; Sources'!$A$104</f>
        <v/>
      </c>
      <c r="B20" s="10">
        <f>'Inputs &amp; Sources'!$B$104</f>
        <v/>
      </c>
      <c r="C20" s="29">
        <f>'Inputs &amp; Sources'!$C$104</f>
        <v/>
      </c>
      <c r="D20" s="12">
        <f>B20*C20</f>
        <v/>
      </c>
      <c r="E20" s="12">
        <f>'Inputs &amp; Sources'!$D$104</f>
        <v/>
      </c>
      <c r="F20" s="12">
        <f>'Inputs &amp; Sources'!$E$104</f>
        <v/>
      </c>
      <c r="G20" s="12">
        <f>D20-E20+F20</f>
        <v/>
      </c>
      <c r="H20" s="12">
        <f>'Inputs &amp; Sources'!$F$104</f>
        <v/>
      </c>
      <c r="I20" s="12">
        <f>H20*'Inputs &amp; Sources'!$B$107/'Inputs &amp; Sources'!$B$108</f>
        <v/>
      </c>
      <c r="J20" s="25" t="inlineStr">
        <is>
          <t>n.a.</t>
        </is>
      </c>
      <c r="K20" s="30">
        <f>IF(ISNUMBER(H20),G20/H20,"n.a.")</f>
        <v/>
      </c>
      <c r="L20" s="30">
        <f>IF(ISNUMBER(I20),G20/I20,"n.m.")</f>
        <v/>
      </c>
      <c r="M20" s="30">
        <f>IF(ISNUMBER(J20),G20/J20,"n.a.")</f>
        <v/>
      </c>
      <c r="O20" s="7" t="inlineStr">
        <is>
          <t>FY27 (May-27) revenue guide; EBITDA at LTM margin (assumption). Diversified software + OCI.</t>
        </is>
      </c>
    </row>
    <row r="21">
      <c r="A21" s="5">
        <f>'Inputs &amp; Sources'!$A$105</f>
        <v/>
      </c>
      <c r="B21" s="10">
        <f>'Inputs &amp; Sources'!$B$105</f>
        <v/>
      </c>
      <c r="C21" s="29">
        <f>'Inputs &amp; Sources'!$C$105</f>
        <v/>
      </c>
      <c r="D21" s="12">
        <f>B21*C21</f>
        <v/>
      </c>
      <c r="E21" s="12">
        <f>'Inputs &amp; Sources'!$D$105</f>
        <v/>
      </c>
      <c r="F21" s="12">
        <f>'Inputs &amp; Sources'!$E$105</f>
        <v/>
      </c>
      <c r="G21" s="12">
        <f>D21-E21+F21</f>
        <v/>
      </c>
      <c r="H21" s="25" t="inlineStr">
        <is>
          <t>n.a.</t>
        </is>
      </c>
      <c r="I21" s="25" t="inlineStr">
        <is>
          <t>n.m.</t>
        </is>
      </c>
      <c r="J21" s="12">
        <f>'Inputs &amp; Sources'!$H$105</f>
        <v/>
      </c>
      <c r="K21" s="30">
        <f>IF(ISNUMBER(H21),G21/H21,"n.a.")</f>
        <v/>
      </c>
      <c r="L21" s="30">
        <f>IF(ISNUMBER(I21),G21/I21,"n.m.")</f>
        <v/>
      </c>
      <c r="M21" s="30">
        <f>IF(ISNUMBER(J21),G21/J21,"n.a.")</f>
        <v/>
      </c>
      <c r="O21" s="7" t="inlineStr">
        <is>
          <t>Reference only: contracted ARR for 2026 capacity; excluded from medians.</t>
        </is>
      </c>
    </row>
    <row r="22">
      <c r="A22" s="8" t="inlineStr">
        <is>
          <t>Median (CRWV, ORCL; run-rate: CRWV, IREN)</t>
        </is>
      </c>
      <c r="K22" s="35">
        <f>MEDIAN(K19:K20)</f>
        <v/>
      </c>
      <c r="L22" s="35">
        <f>MEDIAN(L19:L20)</f>
        <v/>
      </c>
      <c r="M22" s="35">
        <f>MEDIAN(M19,M21)</f>
        <v/>
      </c>
    </row>
    <row r="23">
      <c r="A23" s="5" t="inlineStr">
        <is>
          <t>Nebius - FY26 guidance basis</t>
        </is>
      </c>
      <c r="B23" s="10">
        <f>B5</f>
        <v/>
      </c>
      <c r="C23" s="29">
        <f>B10</f>
        <v/>
      </c>
      <c r="D23" s="12">
        <f>B11</f>
        <v/>
      </c>
      <c r="E23" s="12">
        <f>B13+B14</f>
        <v/>
      </c>
      <c r="F23" s="12">
        <f>B12</f>
        <v/>
      </c>
      <c r="G23" s="12">
        <f>B15</f>
        <v/>
      </c>
      <c r="H23" s="12">
        <f>('Inputs &amp; Sources'!$B$33+'Inputs &amp; Sources'!$B$34)/2</f>
        <v/>
      </c>
      <c r="I23" s="12">
        <f>H23*'Inputs &amp; Sources'!$B$35</f>
        <v/>
      </c>
      <c r="J23" s="12">
        <f>('Inputs &amp; Sources'!$B$38+'Inputs &amp; Sources'!$B$39)/2</f>
        <v/>
      </c>
      <c r="K23" s="30">
        <f>G23/H23</f>
        <v/>
      </c>
      <c r="L23" s="30">
        <f>G23/I23</f>
        <v/>
      </c>
      <c r="M23" s="30">
        <f>G23/J23</f>
        <v/>
      </c>
      <c r="O23" s="7" t="inlineStr">
        <is>
          <t>Cash column includes non-operating investments.</t>
        </is>
      </c>
    </row>
    <row r="24">
      <c r="A24" s="5" t="inlineStr">
        <is>
          <t>Nebius - model (FY2027E revenue/EBITDA; YE26E exit ARR)</t>
        </is>
      </c>
      <c r="G24" s="12">
        <f>B15</f>
        <v/>
      </c>
      <c r="H24" s="12">
        <f>'Income Statement'!O7</f>
        <v/>
      </c>
      <c r="I24" s="12">
        <f>'Income Statement'!O11</f>
        <v/>
      </c>
      <c r="J24" s="12">
        <f>'Income Statement'!N25</f>
        <v/>
      </c>
      <c r="K24" s="30">
        <f>G24/H24</f>
        <v/>
      </c>
      <c r="L24" s="30">
        <f>G24/I24</f>
        <v/>
      </c>
      <c r="M24" s="30">
        <f>G24/J24</f>
        <v/>
      </c>
      <c r="O24" s="7" t="inlineStr">
        <is>
          <t>Model numbers move with the scenario selector.</t>
        </is>
      </c>
    </row>
    <row r="26">
      <c r="A26" s="5" t="inlineStr">
        <is>
          <t>Implied NBIS EV at peer median EV/run-rate x model YE26 exit ARR</t>
        </is>
      </c>
      <c r="B26" s="29">
        <f>M22*J24</f>
        <v/>
      </c>
      <c r="C26" s="7" t="inlineStr"/>
    </row>
    <row r="27">
      <c r="A27" s="8" t="inlineStr">
        <is>
          <t>Implied value per share (same bridge as section 1)</t>
        </is>
      </c>
      <c r="B27" s="9">
        <f>(B26-B12+B13+B14)/B10</f>
        <v/>
      </c>
      <c r="C27" s="7" t="inlineStr"/>
    </row>
    <row r="28">
      <c r="A28" s="5" t="inlineStr">
        <is>
          <t>Implied NBIS EV at peer median EV/fwd EBITDA x model FY2027E EBITDA</t>
        </is>
      </c>
      <c r="B28" s="29">
        <f>L22*I24</f>
        <v/>
      </c>
      <c r="C28" s="7" t="inlineStr">
        <is>
          <t>NBIS is ~1 year behind CRWV in scale, so FY27E is the comparable 'forward' year.</t>
        </is>
      </c>
    </row>
    <row r="29">
      <c r="A29" s="8" t="inlineStr">
        <is>
          <t>Implied value per share</t>
        </is>
      </c>
      <c r="B29" s="9">
        <f>(B28-B12+B13+B14)/B10</f>
        <v/>
      </c>
      <c r="C29" s="7" t="inlineStr"/>
    </row>
    <row r="31">
      <c r="A31" s="3" t="inlineStr">
        <is>
          <t>3. WACC build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5" t="inlineStr">
        <is>
          <t>Risk-free rate (10y UST)</t>
        </is>
      </c>
      <c r="B32" s="36">
        <f>'Inputs &amp; Sources'!$B$112</f>
        <v/>
      </c>
      <c r="C32" s="7" t="inlineStr"/>
    </row>
    <row r="33">
      <c r="A33" s="5" t="inlineStr">
        <is>
          <t>Equity risk premium</t>
        </is>
      </c>
      <c r="B33" s="36">
        <f>'Inputs &amp; Sources'!$B$113</f>
        <v/>
      </c>
      <c r="C33" s="7" t="inlineStr"/>
    </row>
    <row r="34">
      <c r="A34" s="5" t="inlineStr">
        <is>
          <t>Levered beta (assumption)</t>
        </is>
      </c>
      <c r="B34" s="27" t="n">
        <v>1.8</v>
      </c>
      <c r="C34" s="7" t="inlineStr">
        <is>
          <t>ASSUMPTION: NBIS reported 1.46 is distorted by the 2022-24 trading halt; ORCL 1.77, IREN 4.27. 1.8 reflects a levered, capex-heavy growth name.</t>
        </is>
      </c>
    </row>
    <row r="35">
      <c r="A35" s="8" t="inlineStr">
        <is>
          <t>Cost of equity</t>
        </is>
      </c>
      <c r="B35" s="37">
        <f>B32+B34*B33</f>
        <v/>
      </c>
      <c r="C35" s="7" t="inlineStr"/>
    </row>
    <row r="36">
      <c r="A36" s="5" t="inlineStr">
        <is>
          <t>Pre-tax cost of debt (SOFR + secured spread)</t>
        </is>
      </c>
      <c r="B36" s="36">
        <f>'Inputs &amp; Sources'!$B$114+'Inputs &amp; Sources'!$B$115</f>
        <v/>
      </c>
      <c r="C36" s="7" t="inlineStr">
        <is>
          <t>Marginal secured cost; convert coupons are lower but carry equity optionality.</t>
        </is>
      </c>
    </row>
    <row r="37">
      <c r="A37" s="5" t="inlineStr">
        <is>
          <t>Tax rate</t>
        </is>
      </c>
      <c r="B37" s="11">
        <f>'Drivers'!J54</f>
        <v/>
      </c>
      <c r="C37" s="7" t="inlineStr"/>
    </row>
    <row r="38">
      <c r="A38" s="5" t="inlineStr">
        <is>
          <t>After-tax cost of debt</t>
        </is>
      </c>
      <c r="B38" s="36">
        <f>B36*(1-B37)</f>
        <v/>
      </c>
      <c r="C38" s="7" t="inlineStr"/>
    </row>
    <row r="39">
      <c r="A39" s="5" t="inlineStr">
        <is>
          <t>Equity (market, basic + PFW shares)</t>
        </is>
      </c>
      <c r="B39" s="29">
        <f>B5*(B6+B7+B8)</f>
        <v/>
      </c>
      <c r="C39" s="7" t="inlineStr"/>
    </row>
    <row r="40">
      <c r="A40" s="5" t="inlineStr">
        <is>
          <t>Debt (pro forma principal, all converts as debt)</t>
        </is>
      </c>
      <c r="B40" s="29">
        <f>'Capex &amp; Funding'!C56</f>
        <v/>
      </c>
      <c r="C40" s="7" t="inlineStr"/>
    </row>
    <row r="41">
      <c r="A41" s="5" t="inlineStr">
        <is>
          <t>Equity weight</t>
        </is>
      </c>
      <c r="B41" s="11">
        <f>B39/(B39+B40)</f>
        <v/>
      </c>
      <c r="C41" s="7" t="inlineStr"/>
    </row>
    <row r="42">
      <c r="A42" s="8" t="inlineStr">
        <is>
          <t>WACC (base)</t>
        </is>
      </c>
      <c r="B42" s="37">
        <f>B41*B35+(1-B41)*B38</f>
        <v/>
      </c>
      <c r="C42" s="7" t="inlineStr"/>
    </row>
    <row r="43">
      <c r="A43" s="8" t="inlineStr">
        <is>
          <t>WACC used (base + scenario adjustment)</t>
        </is>
      </c>
      <c r="B43" s="37">
        <f>B42+'Scenarios'!$F$15</f>
        <v/>
      </c>
      <c r="C43" s="7" t="inlineStr"/>
    </row>
    <row r="45">
      <c r="A45" s="3" t="inlineStr">
        <is>
          <t>4. DCF (unlevered; base date Jun-30-26, mid-period discounting)</t>
        </is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13" t="inlineStr">
        <is>
          <t>$M</t>
        </is>
      </c>
      <c r="B46" s="18" t="inlineStr">
        <is>
          <t>H2'26E</t>
        </is>
      </c>
      <c r="C46" s="18" t="inlineStr">
        <is>
          <t>FY2027E</t>
        </is>
      </c>
      <c r="D46" s="18" t="inlineStr">
        <is>
          <t>FY2028E</t>
        </is>
      </c>
      <c r="E46" s="18" t="inlineStr">
        <is>
          <t>FY2029E</t>
        </is>
      </c>
      <c r="F46" s="18" t="inlineStr">
        <is>
          <t>Terminal</t>
        </is>
      </c>
    </row>
    <row r="47">
      <c r="A47" s="5" t="inlineStr">
        <is>
          <t>Revenue</t>
        </is>
      </c>
      <c r="B47" s="29">
        <f>'Income Statement'!D7+'Income Statement'!E7</f>
        <v/>
      </c>
      <c r="C47" s="29">
        <f>SUM('Income Statement'!F7:'Income Statement'!I7)</f>
        <v/>
      </c>
      <c r="D47" s="29">
        <f>'Income Statement'!J7</f>
        <v/>
      </c>
      <c r="E47" s="29">
        <f>'Income Statement'!K7</f>
        <v/>
      </c>
      <c r="O47" s="7" t="inlineStr"/>
    </row>
    <row r="48">
      <c r="A48" s="8" t="inlineStr">
        <is>
          <t>Adjusted EBITDA</t>
        </is>
      </c>
      <c r="B48" s="28">
        <f>'Income Statement'!D11+'Income Statement'!E11</f>
        <v/>
      </c>
      <c r="C48" s="28">
        <f>SUM('Income Statement'!F11:'Income Statement'!I11)</f>
        <v/>
      </c>
      <c r="D48" s="28">
        <f>'Income Statement'!J11</f>
        <v/>
      </c>
      <c r="E48" s="28">
        <f>'Income Statement'!K11</f>
        <v/>
      </c>
      <c r="O48" s="7" t="inlineStr"/>
    </row>
    <row r="49">
      <c r="A49" s="5" t="inlineStr">
        <is>
          <t>Less: SBC (treated as a real cost)</t>
        </is>
      </c>
      <c r="B49" s="29">
        <f>'Income Statement'!D13+'Income Statement'!E13</f>
        <v/>
      </c>
      <c r="C49" s="29">
        <f>SUM('Income Statement'!F13:'Income Statement'!I13)</f>
        <v/>
      </c>
      <c r="D49" s="29">
        <f>'Income Statement'!J13</f>
        <v/>
      </c>
      <c r="E49" s="29">
        <f>'Income Statement'!K13</f>
        <v/>
      </c>
      <c r="O49" s="7" t="inlineStr"/>
    </row>
    <row r="50">
      <c r="A50" s="5" t="inlineStr">
        <is>
          <t>Less: D&amp;A (for tax only)</t>
        </is>
      </c>
      <c r="B50" s="29">
        <f>'Income Statement'!D15+'Income Statement'!E15</f>
        <v/>
      </c>
      <c r="C50" s="29">
        <f>SUM('Income Statement'!F15:'Income Statement'!I15)</f>
        <v/>
      </c>
      <c r="D50" s="29">
        <f>'Income Statement'!J15</f>
        <v/>
      </c>
      <c r="E50" s="29">
        <f>'Income Statement'!K15</f>
        <v/>
      </c>
      <c r="O50" s="7" t="inlineStr"/>
    </row>
    <row r="51">
      <c r="A51" s="5" t="inlineStr">
        <is>
          <t>EBIT (post-SBC)</t>
        </is>
      </c>
      <c r="B51" s="29">
        <f>B48+B49+B50</f>
        <v/>
      </c>
      <c r="C51" s="29">
        <f>C48+C49+C50</f>
        <v/>
      </c>
      <c r="D51" s="29">
        <f>D48+D49+D50</f>
        <v/>
      </c>
      <c r="E51" s="29">
        <f>E48+E49+E50</f>
        <v/>
      </c>
      <c r="O51" s="7" t="inlineStr"/>
    </row>
    <row r="52">
      <c r="A52" s="5" t="inlineStr">
        <is>
          <t>Less: unlevered cash taxes</t>
        </is>
      </c>
      <c r="B52" s="29">
        <f>-MAX(0,B51)*$B$37</f>
        <v/>
      </c>
      <c r="C52" s="29">
        <f>-MAX(0,C51)*$B$37</f>
        <v/>
      </c>
      <c r="D52" s="29">
        <f>-MAX(0,D51)*$B$37</f>
        <v/>
      </c>
      <c r="E52" s="29">
        <f>-MAX(0,E51)*$B$37</f>
        <v/>
      </c>
      <c r="O52" s="7" t="inlineStr"/>
    </row>
    <row r="53">
      <c r="A53" s="5" t="inlineStr">
        <is>
          <t>Less: capex</t>
        </is>
      </c>
      <c r="B53" s="29">
        <f>'Cash Flow'!D15+'Cash Flow'!E15</f>
        <v/>
      </c>
      <c r="C53" s="29">
        <f>SUM('Cash Flow'!F15:'Cash Flow'!I15)</f>
        <v/>
      </c>
      <c r="D53" s="29">
        <f>'Cash Flow'!J15</f>
        <v/>
      </c>
      <c r="E53" s="29">
        <f>'Cash Flow'!K15</f>
        <v/>
      </c>
      <c r="O53" s="7" t="inlineStr"/>
    </row>
    <row r="54">
      <c r="A54" s="5" t="inlineStr">
        <is>
          <t>Plus: net customer prepayments (received - recognized)</t>
        </is>
      </c>
      <c r="B54" s="29">
        <f>'Cash Flow'!D11+'Cash Flow'!E11+'Cash Flow'!D12+'Cash Flow'!E12</f>
        <v/>
      </c>
      <c r="C54" s="29">
        <f>SUM('Cash Flow'!F11:'Cash Flow'!I11)+SUM('Cash Flow'!F12:'Cash Flow'!I12)</f>
        <v/>
      </c>
      <c r="D54" s="29">
        <f>'Cash Flow'!J11+'Cash Flow'!J12</f>
        <v/>
      </c>
      <c r="E54" s="29">
        <f>'Cash Flow'!K11+'Cash Flow'!K12</f>
        <v/>
      </c>
      <c r="O54" s="7" t="inlineStr"/>
    </row>
    <row r="55">
      <c r="A55" s="5" t="inlineStr">
        <is>
          <t>Plus: other working capital (AR, AP)</t>
        </is>
      </c>
      <c r="B55" s="29">
        <f>'Cash Flow'!D9+'Cash Flow'!E9+'Cash Flow'!D10+'Cash Flow'!E10</f>
        <v/>
      </c>
      <c r="C55" s="29">
        <f>SUM('Cash Flow'!F9:'Cash Flow'!I9)+SUM('Cash Flow'!F10:'Cash Flow'!I10)</f>
        <v/>
      </c>
      <c r="D55" s="29">
        <f>'Cash Flow'!J9+'Cash Flow'!J10</f>
        <v/>
      </c>
      <c r="E55" s="29">
        <f>'Cash Flow'!K9+'Cash Flow'!K10</f>
        <v/>
      </c>
      <c r="O55" s="7" t="inlineStr"/>
    </row>
    <row r="56">
      <c r="A56" s="8" t="inlineStr">
        <is>
          <t>Unlevered free cash flow</t>
        </is>
      </c>
      <c r="B56" s="28">
        <f>B48+B49+B52+B53+B54+B55</f>
        <v/>
      </c>
      <c r="C56" s="28">
        <f>C48+C49+C52+C53+C54+C55</f>
        <v/>
      </c>
      <c r="D56" s="28">
        <f>D48+D49+D52+D53+D54+D55</f>
        <v/>
      </c>
      <c r="E56" s="28">
        <f>E48+E49+E52+E53+E54+E55</f>
        <v/>
      </c>
      <c r="O56" s="7" t="inlineStr"/>
    </row>
    <row r="57">
      <c r="A57" s="5" t="inlineStr">
        <is>
          <t>Discount period (years from Jun-30-26, mid-period)</t>
        </is>
      </c>
      <c r="B57" s="27" t="n">
        <v>0.25</v>
      </c>
      <c r="C57" s="27" t="n">
        <v>1</v>
      </c>
      <c r="D57" s="27" t="n">
        <v>2</v>
      </c>
      <c r="E57" s="27" t="n">
        <v>3</v>
      </c>
      <c r="F57" s="27" t="n">
        <v>3.5</v>
      </c>
    </row>
    <row r="58">
      <c r="A58" s="5" t="inlineStr">
        <is>
          <t>Discount factor</t>
        </is>
      </c>
      <c r="B58" s="38">
        <f>1/(1+$B$43)^B57</f>
        <v/>
      </c>
      <c r="C58" s="38">
        <f>1/(1+$B$43)^C57</f>
        <v/>
      </c>
      <c r="D58" s="38">
        <f>1/(1+$B$43)^D57</f>
        <v/>
      </c>
      <c r="E58" s="38">
        <f>1/(1+$B$43)^E57</f>
        <v/>
      </c>
      <c r="F58" s="38">
        <f>1/(1+$B$43)^F57</f>
        <v/>
      </c>
      <c r="O58" s="7" t="inlineStr"/>
    </row>
    <row r="59">
      <c r="A59" s="5" t="inlineStr">
        <is>
          <t>PV of UFCF</t>
        </is>
      </c>
      <c r="B59" s="29">
        <f>B56*B58</f>
        <v/>
      </c>
      <c r="C59" s="29">
        <f>C56*C58</f>
        <v/>
      </c>
      <c r="D59" s="29">
        <f>D56*D58</f>
        <v/>
      </c>
      <c r="E59" s="29">
        <f>E56*E58</f>
        <v/>
      </c>
      <c r="O59" s="7" t="inlineStr"/>
    </row>
    <row r="61">
      <c r="A61" s="5" t="inlineStr">
        <is>
          <t>Exit EV/EBITDA multiple (active scenario)</t>
        </is>
      </c>
      <c r="B61" s="39">
        <f>'Scenarios'!$F$14</f>
        <v/>
      </c>
      <c r="C61" s="7" t="inlineStr"/>
    </row>
    <row r="62">
      <c r="A62" s="5" t="inlineStr">
        <is>
          <t>Terminal value (FY2029E EBITDA x multiple, at Dec-29)</t>
        </is>
      </c>
      <c r="B62" s="29">
        <f>E48*B61</f>
        <v/>
      </c>
      <c r="C62" s="7" t="inlineStr"/>
    </row>
    <row r="63">
      <c r="A63" s="5" t="inlineStr">
        <is>
          <t>PV of terminal value</t>
        </is>
      </c>
      <c r="B63" s="29">
        <f>B62*F58</f>
        <v/>
      </c>
      <c r="C63" s="7" t="inlineStr"/>
    </row>
    <row r="64">
      <c r="A64" s="5" t="inlineStr">
        <is>
          <t>Sum of PV of UFCF</t>
        </is>
      </c>
      <c r="B64" s="29">
        <f>SUM(B59:E59)</f>
        <v/>
      </c>
      <c r="C64" s="7" t="inlineStr"/>
    </row>
    <row r="65">
      <c r="A65" s="5" t="inlineStr">
        <is>
          <t>Treat FY2029E deferred revenue as debt-like? (1 = yes)</t>
        </is>
      </c>
      <c r="B65" s="40" t="n">
        <v>0</v>
      </c>
      <c r="C65" s="7" t="inlineStr">
        <is>
          <t>Sensitivity: prepaid service obligations at the terminal date have no future cash attached.</t>
        </is>
      </c>
    </row>
    <row r="66">
      <c r="A66" s="5" t="inlineStr">
        <is>
          <t>Less: PV of FY2029E deferred revenue (if toggle = 1)</t>
        </is>
      </c>
      <c r="B66" s="29">
        <f>-B65*'Balance Sheet'!K16*F58</f>
        <v/>
      </c>
      <c r="C66" s="7" t="inlineStr"/>
    </row>
    <row r="67">
      <c r="A67" s="8" t="inlineStr">
        <is>
          <t>Enterprise value (DCF)</t>
        </is>
      </c>
      <c r="B67" s="28">
        <f>B64+B63+B66</f>
        <v/>
      </c>
      <c r="C67" s="7" t="inlineStr"/>
    </row>
    <row r="68">
      <c r="A68" s="5" t="inlineStr">
        <is>
          <t xml:space="preserve">  Terminal value share of EV</t>
        </is>
      </c>
      <c r="B68" s="11">
        <f>B63/B67</f>
        <v/>
      </c>
      <c r="C68" s="7" t="inlineStr"/>
    </row>
    <row r="69">
      <c r="A69" s="8" t="inlineStr">
        <is>
          <t>Equity value (EV - debt not converted + pro forma cash + investments)</t>
        </is>
      </c>
      <c r="B69" s="28">
        <f>B67-B12+B13+B14</f>
        <v/>
      </c>
      <c r="C69" s="7" t="inlineStr"/>
    </row>
    <row r="70">
      <c r="A70" s="8" t="inlineStr">
        <is>
          <t>Value per diluted share ($)</t>
        </is>
      </c>
      <c r="B70" s="41">
        <f>B69/B10</f>
        <v/>
      </c>
      <c r="C70" s="7" t="inlineStr"/>
    </row>
    <row r="71">
      <c r="A71" s="8" t="inlineStr">
        <is>
          <t>Upside / (downside) vs current price</t>
        </is>
      </c>
      <c r="B71" s="42">
        <f>B70/B5-1</f>
        <v/>
      </c>
      <c r="C71" s="7" t="inlineStr"/>
    </row>
    <row r="72">
      <c r="A72" s="5" t="inlineStr">
        <is>
          <t>Memo: value per share impact if deferred revenue treated as debt-like</t>
        </is>
      </c>
      <c r="B72" s="10">
        <f>-'Balance Sheet'!K16*F58/B10*(1-B65)</f>
        <v/>
      </c>
      <c r="C72" s="7" t="inlineStr"/>
    </row>
    <row r="73">
      <c r="A73" s="5" t="inlineStr">
        <is>
          <t>Memo: DCF EV / FY2027E adj. EBITDA</t>
        </is>
      </c>
      <c r="B73" s="30">
        <f>B67/C48</f>
        <v/>
      </c>
      <c r="C73" s="7" t="inlineStr"/>
    </row>
    <row r="75">
      <c r="A75" s="8" t="inlineStr">
        <is>
          <t>Gordon-growth cross-check</t>
        </is>
      </c>
    </row>
    <row r="76">
      <c r="A76" s="5" t="inlineStr">
        <is>
          <t>Maintenance capex, % of revenue (steady state)</t>
        </is>
      </c>
      <c r="B76" s="43" t="n">
        <v>0.35</v>
      </c>
      <c r="C76" s="7" t="inlineStr">
        <is>
          <t>ASSUMPTION: compute ~$32M/MW replaced every ~5-6 yrs vs ~$15-17M revenue/MW =&gt; ~35%.</t>
        </is>
      </c>
    </row>
    <row r="77">
      <c r="A77" s="5" t="inlineStr">
        <is>
          <t>Normalized FY2029E FCF (rev x (margin - SBC% - maint% - tax on EBIT))</t>
        </is>
      </c>
      <c r="B77" s="29">
        <f>E47*((E48+E49)/E47-B76-MAX(0,(E48+E49)/E47-B76)*B37)</f>
        <v/>
      </c>
      <c r="C77" s="7" t="inlineStr"/>
    </row>
    <row r="78">
      <c r="A78" s="8" t="inlineStr">
        <is>
          <t>Perpetual growth implied by exit multiple</t>
        </is>
      </c>
      <c r="B78" s="42">
        <f>(B62*B43-B77)/(B62+B77)</f>
        <v/>
      </c>
      <c r="C78" s="7" t="inlineStr">
        <is>
          <t>Sanity check: should be plausible for a still-growing AI-infra business (high single digits = aggressive).</t>
        </is>
      </c>
    </row>
    <row r="80">
      <c r="A80" s="3" t="inlineStr">
        <is>
          <t>5. Sensitivity: value per share ($) - WACC (rows) x exit multiple (columns)</t>
        </is>
      </c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</row>
    <row r="81">
      <c r="A81" s="8" t="inlineStr">
        <is>
          <t>WACC \ Exit multiple</t>
        </is>
      </c>
      <c r="B81" s="44" t="n">
        <v>5</v>
      </c>
      <c r="C81" s="44" t="n">
        <v>6</v>
      </c>
      <c r="D81" s="44" t="n">
        <v>7</v>
      </c>
      <c r="E81" s="44" t="n">
        <v>8</v>
      </c>
      <c r="F81" s="44" t="n">
        <v>9</v>
      </c>
    </row>
    <row r="82">
      <c r="A82" s="37">
        <f>$B$43+(-0.02)</f>
        <v/>
      </c>
      <c r="B82" s="10">
        <f>((B$56/(1+$A82)^B$57+C$56/(1+$A82)^C$57+D$56/(1+$A82)^D$57+E$56/(1+$A82)^E$57)+$E$48*B$81/(1+$A82)^$F$57-$B$65*'Balance Sheet'!$K$16/(1+$A82)^$F$57-$B$12+$B$13+$B$14)/$B$10</f>
        <v/>
      </c>
      <c r="C82" s="10">
        <f>((B$56/(1+$A82)^B$57+C$56/(1+$A82)^C$57+D$56/(1+$A82)^D$57+E$56/(1+$A82)^E$57)+$E$48*C$81/(1+$A82)^$F$57-$B$65*'Balance Sheet'!$K$16/(1+$A82)^$F$57-$B$12+$B$13+$B$14)/$B$10</f>
        <v/>
      </c>
      <c r="D82" s="10">
        <f>((B$56/(1+$A82)^B$57+C$56/(1+$A82)^C$57+D$56/(1+$A82)^D$57+E$56/(1+$A82)^E$57)+$E$48*D$81/(1+$A82)^$F$57-$B$65*'Balance Sheet'!$K$16/(1+$A82)^$F$57-$B$12+$B$13+$B$14)/$B$10</f>
        <v/>
      </c>
      <c r="E82" s="10">
        <f>((B$56/(1+$A82)^B$57+C$56/(1+$A82)^C$57+D$56/(1+$A82)^D$57+E$56/(1+$A82)^E$57)+$E$48*E$81/(1+$A82)^$F$57-$B$65*'Balance Sheet'!$K$16/(1+$A82)^$F$57-$B$12+$B$13+$B$14)/$B$10</f>
        <v/>
      </c>
      <c r="F82" s="10">
        <f>((B$56/(1+$A82)^B$57+C$56/(1+$A82)^C$57+D$56/(1+$A82)^D$57+E$56/(1+$A82)^E$57)+$E$48*F$81/(1+$A82)^$F$57-$B$65*'Balance Sheet'!$K$16/(1+$A82)^$F$57-$B$12+$B$13+$B$14)/$B$10</f>
        <v/>
      </c>
    </row>
    <row r="83">
      <c r="A83" s="37">
        <f>$B$43+(-0.01)</f>
        <v/>
      </c>
      <c r="B83" s="10">
        <f>((B$56/(1+$A83)^B$57+C$56/(1+$A83)^C$57+D$56/(1+$A83)^D$57+E$56/(1+$A83)^E$57)+$E$48*B$81/(1+$A83)^$F$57-$B$65*'Balance Sheet'!$K$16/(1+$A83)^$F$57-$B$12+$B$13+$B$14)/$B$10</f>
        <v/>
      </c>
      <c r="C83" s="10">
        <f>((B$56/(1+$A83)^B$57+C$56/(1+$A83)^C$57+D$56/(1+$A83)^D$57+E$56/(1+$A83)^E$57)+$E$48*C$81/(1+$A83)^$F$57-$B$65*'Balance Sheet'!$K$16/(1+$A83)^$F$57-$B$12+$B$13+$B$14)/$B$10</f>
        <v/>
      </c>
      <c r="D83" s="10">
        <f>((B$56/(1+$A83)^B$57+C$56/(1+$A83)^C$57+D$56/(1+$A83)^D$57+E$56/(1+$A83)^E$57)+$E$48*D$81/(1+$A83)^$F$57-$B$65*'Balance Sheet'!$K$16/(1+$A83)^$F$57-$B$12+$B$13+$B$14)/$B$10</f>
        <v/>
      </c>
      <c r="E83" s="10">
        <f>((B$56/(1+$A83)^B$57+C$56/(1+$A83)^C$57+D$56/(1+$A83)^D$57+E$56/(1+$A83)^E$57)+$E$48*E$81/(1+$A83)^$F$57-$B$65*'Balance Sheet'!$K$16/(1+$A83)^$F$57-$B$12+$B$13+$B$14)/$B$10</f>
        <v/>
      </c>
      <c r="F83" s="10">
        <f>((B$56/(1+$A83)^B$57+C$56/(1+$A83)^C$57+D$56/(1+$A83)^D$57+E$56/(1+$A83)^E$57)+$E$48*F$81/(1+$A83)^$F$57-$B$65*'Balance Sheet'!$K$16/(1+$A83)^$F$57-$B$12+$B$13+$B$14)/$B$10</f>
        <v/>
      </c>
    </row>
    <row r="84">
      <c r="A84" s="37">
        <f>$B$43+(0.0)</f>
        <v/>
      </c>
      <c r="B84" s="10">
        <f>((B$56/(1+$A84)^B$57+C$56/(1+$A84)^C$57+D$56/(1+$A84)^D$57+E$56/(1+$A84)^E$57)+$E$48*B$81/(1+$A84)^$F$57-$B$65*'Balance Sheet'!$K$16/(1+$A84)^$F$57-$B$12+$B$13+$B$14)/$B$10</f>
        <v/>
      </c>
      <c r="C84" s="10">
        <f>((B$56/(1+$A84)^B$57+C$56/(1+$A84)^C$57+D$56/(1+$A84)^D$57+E$56/(1+$A84)^E$57)+$E$48*C$81/(1+$A84)^$F$57-$B$65*'Balance Sheet'!$K$16/(1+$A84)^$F$57-$B$12+$B$13+$B$14)/$B$10</f>
        <v/>
      </c>
      <c r="D84" s="10">
        <f>((B$56/(1+$A84)^B$57+C$56/(1+$A84)^C$57+D$56/(1+$A84)^D$57+E$56/(1+$A84)^E$57)+$E$48*D$81/(1+$A84)^$F$57-$B$65*'Balance Sheet'!$K$16/(1+$A84)^$F$57-$B$12+$B$13+$B$14)/$B$10</f>
        <v/>
      </c>
      <c r="E84" s="10">
        <f>((B$56/(1+$A84)^B$57+C$56/(1+$A84)^C$57+D$56/(1+$A84)^D$57+E$56/(1+$A84)^E$57)+$E$48*E$81/(1+$A84)^$F$57-$B$65*'Balance Sheet'!$K$16/(1+$A84)^$F$57-$B$12+$B$13+$B$14)/$B$10</f>
        <v/>
      </c>
      <c r="F84" s="10">
        <f>((B$56/(1+$A84)^B$57+C$56/(1+$A84)^C$57+D$56/(1+$A84)^D$57+E$56/(1+$A84)^E$57)+$E$48*F$81/(1+$A84)^$F$57-$B$65*'Balance Sheet'!$K$16/(1+$A84)^$F$57-$B$12+$B$13+$B$14)/$B$10</f>
        <v/>
      </c>
    </row>
    <row r="85">
      <c r="A85" s="37">
        <f>$B$43+(0.01)</f>
        <v/>
      </c>
      <c r="B85" s="10">
        <f>((B$56/(1+$A85)^B$57+C$56/(1+$A85)^C$57+D$56/(1+$A85)^D$57+E$56/(1+$A85)^E$57)+$E$48*B$81/(1+$A85)^$F$57-$B$65*'Balance Sheet'!$K$16/(1+$A85)^$F$57-$B$12+$B$13+$B$14)/$B$10</f>
        <v/>
      </c>
      <c r="C85" s="10">
        <f>((B$56/(1+$A85)^B$57+C$56/(1+$A85)^C$57+D$56/(1+$A85)^D$57+E$56/(1+$A85)^E$57)+$E$48*C$81/(1+$A85)^$F$57-$B$65*'Balance Sheet'!$K$16/(1+$A85)^$F$57-$B$12+$B$13+$B$14)/$B$10</f>
        <v/>
      </c>
      <c r="D85" s="10">
        <f>((B$56/(1+$A85)^B$57+C$56/(1+$A85)^C$57+D$56/(1+$A85)^D$57+E$56/(1+$A85)^E$57)+$E$48*D$81/(1+$A85)^$F$57-$B$65*'Balance Sheet'!$K$16/(1+$A85)^$F$57-$B$12+$B$13+$B$14)/$B$10</f>
        <v/>
      </c>
      <c r="E85" s="10">
        <f>((B$56/(1+$A85)^B$57+C$56/(1+$A85)^C$57+D$56/(1+$A85)^D$57+E$56/(1+$A85)^E$57)+$E$48*E$81/(1+$A85)^$F$57-$B$65*'Balance Sheet'!$K$16/(1+$A85)^$F$57-$B$12+$B$13+$B$14)/$B$10</f>
        <v/>
      </c>
      <c r="F85" s="10">
        <f>((B$56/(1+$A85)^B$57+C$56/(1+$A85)^C$57+D$56/(1+$A85)^D$57+E$56/(1+$A85)^E$57)+$E$48*F$81/(1+$A85)^$F$57-$B$65*'Balance Sheet'!$K$16/(1+$A85)^$F$57-$B$12+$B$13+$B$14)/$B$10</f>
        <v/>
      </c>
    </row>
    <row r="86">
      <c r="A86" s="37">
        <f>$B$43+(0.02)</f>
        <v/>
      </c>
      <c r="B86" s="10">
        <f>((B$56/(1+$A86)^B$57+C$56/(1+$A86)^C$57+D$56/(1+$A86)^D$57+E$56/(1+$A86)^E$57)+$E$48*B$81/(1+$A86)^$F$57-$B$65*'Balance Sheet'!$K$16/(1+$A86)^$F$57-$B$12+$B$13+$B$14)/$B$10</f>
        <v/>
      </c>
      <c r="C86" s="10">
        <f>((B$56/(1+$A86)^B$57+C$56/(1+$A86)^C$57+D$56/(1+$A86)^D$57+E$56/(1+$A86)^E$57)+$E$48*C$81/(1+$A86)^$F$57-$B$65*'Balance Sheet'!$K$16/(1+$A86)^$F$57-$B$12+$B$13+$B$14)/$B$10</f>
        <v/>
      </c>
      <c r="D86" s="10">
        <f>((B$56/(1+$A86)^B$57+C$56/(1+$A86)^C$57+D$56/(1+$A86)^D$57+E$56/(1+$A86)^E$57)+$E$48*D$81/(1+$A86)^$F$57-$B$65*'Balance Sheet'!$K$16/(1+$A86)^$F$57-$B$12+$B$13+$B$14)/$B$10</f>
        <v/>
      </c>
      <c r="E86" s="10">
        <f>((B$56/(1+$A86)^B$57+C$56/(1+$A86)^C$57+D$56/(1+$A86)^D$57+E$56/(1+$A86)^E$57)+$E$48*E$81/(1+$A86)^$F$57-$B$65*'Balance Sheet'!$K$16/(1+$A86)^$F$57-$B$12+$B$13+$B$14)/$B$10</f>
        <v/>
      </c>
      <c r="F86" s="10">
        <f>((B$56/(1+$A86)^B$57+C$56/(1+$A86)^C$57+D$56/(1+$A86)^D$57+E$56/(1+$A86)^E$57)+$E$48*F$81/(1+$A86)^$F$57-$B$65*'Balance Sheet'!$K$16/(1+$A86)^$F$57-$B$12+$B$13+$B$14)/$B$10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80" customWidth="1" min="8" max="8"/>
  </cols>
  <sheetData>
    <row r="1">
      <c r="A1" s="1" t="inlineStr">
        <is>
          <t>Scenarios</t>
        </is>
      </c>
    </row>
    <row r="2">
      <c r="A2" s="2" t="inlineStr">
        <is>
          <t>Change C4 to switch the whole model. Bear/Base/Bull parameters are inputs (blue); 'Active' feeds Drivers and Valuation.</t>
        </is>
      </c>
    </row>
    <row r="3"/>
    <row r="4">
      <c r="A4" s="8" t="inlineStr">
        <is>
          <t>ACTIVE SCENARIO  (1 = Bear, 2 = Base, 3 = Bull)</t>
        </is>
      </c>
      <c r="C4" s="45" t="n">
        <v>2</v>
      </c>
      <c r="D4" s="8">
        <f>CHOOSE($C$4,"Bear","Base","Bull")</f>
        <v/>
      </c>
    </row>
    <row r="5"/>
    <row r="6">
      <c r="A6" s="13" t="inlineStr">
        <is>
          <t>Parameter</t>
        </is>
      </c>
      <c r="B6" s="13" t="inlineStr">
        <is>
          <t>Unit</t>
        </is>
      </c>
      <c r="C6" s="13" t="inlineStr">
        <is>
          <t>Bear</t>
        </is>
      </c>
      <c r="D6" s="13" t="inlineStr">
        <is>
          <t>Base</t>
        </is>
      </c>
      <c r="E6" s="13" t="inlineStr">
        <is>
          <t>Bull</t>
        </is>
      </c>
      <c r="F6" s="13" t="inlineStr">
        <is>
          <t>Active</t>
        </is>
      </c>
      <c r="G6" s="13" t="inlineStr"/>
      <c r="H6" s="13" t="inlineStr">
        <is>
          <t>Rationale</t>
        </is>
      </c>
    </row>
    <row r="7">
      <c r="A7" s="5" t="inlineStr">
        <is>
          <t>Capacity build-out factor (x base MW adds after Jun-26)</t>
        </is>
      </c>
      <c r="B7" s="7" t="inlineStr">
        <is>
          <t>x</t>
        </is>
      </c>
      <c r="C7" s="27" t="n">
        <v>0.75</v>
      </c>
      <c r="D7" s="27" t="n">
        <v>1</v>
      </c>
      <c r="E7" s="27" t="n">
        <v>1.2</v>
      </c>
      <c r="F7" s="46">
        <f>CHOOSE($C$4,C7,D7,E7)</f>
        <v/>
      </c>
      <c r="H7" s="7" t="inlineStr">
        <is>
          <t>Bear: power/permitting/supply-chain slippage delays ~25% of adds. Bull: faster delivery toward 5 GW contracted (company: nearly all online within 2-3.5 yrs).</t>
        </is>
      </c>
    </row>
    <row r="8">
      <c r="A8" s="5" t="inlineStr">
        <is>
          <t>Price per GPU-hour multiplier</t>
        </is>
      </c>
      <c r="B8" s="7" t="inlineStr">
        <is>
          <t>x</t>
        </is>
      </c>
      <c r="C8" s="27" t="n">
        <v>0.9</v>
      </c>
      <c r="D8" s="27" t="n">
        <v>1</v>
      </c>
      <c r="E8" s="27" t="n">
        <v>1.05</v>
      </c>
      <c r="F8" s="46">
        <f>CHOOSE($C$4,C8,D8,E8)</f>
        <v/>
      </c>
      <c r="H8" s="7" t="inlineStr">
        <is>
          <t>Bear: faster price decay on older GPUs / more competitive renewals. Bull: Q2 showed older-gen pricing +30% QoQ (S2).</t>
        </is>
      </c>
    </row>
    <row r="9">
      <c r="A9" s="5" t="inlineStr">
        <is>
          <t>Billable utilization delta vs base path</t>
        </is>
      </c>
      <c r="B9" s="7" t="inlineStr">
        <is>
          <t>pts</t>
        </is>
      </c>
      <c r="C9" s="43" t="n">
        <v>-0.06</v>
      </c>
      <c r="D9" s="43" t="n">
        <v>0</v>
      </c>
      <c r="E9" s="43" t="n">
        <v>0.03</v>
      </c>
      <c r="F9" s="42">
        <f>CHOOSE($C$4,C9,D9,E9)</f>
        <v/>
      </c>
      <c r="H9" s="7" t="inlineStr">
        <is>
          <t>Base 90% reflects long-term take-or-pay contracts; bear reflects on-demand mix / idle capacity during ramps.</t>
        </is>
      </c>
    </row>
    <row r="10">
      <c r="A10" s="5" t="inlineStr">
        <is>
          <t>Cost of revenue delta (% of revenue)</t>
        </is>
      </c>
      <c r="B10" s="7" t="inlineStr">
        <is>
          <t>pts</t>
        </is>
      </c>
      <c r="C10" s="43" t="n">
        <v>0.03</v>
      </c>
      <c r="D10" s="43" t="n">
        <v>0</v>
      </c>
      <c r="E10" s="43" t="n">
        <v>-0.02</v>
      </c>
      <c r="F10" s="42">
        <f>CHOOSE($C$4,C10,D10,E10)</f>
        <v/>
      </c>
      <c r="H10" s="7" t="inlineStr">
        <is>
          <t>Bear: higher power/colocation cost as partner (asset-light) share rises.</t>
        </is>
      </c>
    </row>
    <row r="11">
      <c r="A11" s="5" t="inlineStr">
        <is>
          <t>Capex per MW multiplier</t>
        </is>
      </c>
      <c r="B11" s="7" t="inlineStr">
        <is>
          <t>x</t>
        </is>
      </c>
      <c r="C11" s="27" t="n">
        <v>1.05</v>
      </c>
      <c r="D11" s="27" t="n">
        <v>1</v>
      </c>
      <c r="E11" s="27" t="n">
        <v>0.95</v>
      </c>
      <c r="F11" s="46">
        <f>CHOOSE($C$4,C11,D11,E11)</f>
        <v/>
      </c>
      <c r="H11" s="7" t="inlineStr">
        <is>
          <t>Bear: next-gen systems (higher $/MW) and construction inflation.</t>
        </is>
      </c>
    </row>
    <row r="12">
      <c r="A12" s="5" t="inlineStr">
        <is>
          <t>Customer prepayments as % of capex</t>
        </is>
      </c>
      <c r="B12" s="7" t="inlineStr">
        <is>
          <t>%</t>
        </is>
      </c>
      <c r="C12" s="43" t="n">
        <v>0.3</v>
      </c>
      <c r="D12" s="43" t="n">
        <v>0.4</v>
      </c>
      <c r="E12" s="43" t="n">
        <v>0.5</v>
      </c>
      <c r="F12" s="42">
        <f>CHOOSE($C$4,C12,D12,E12)</f>
        <v/>
      </c>
      <c r="H12" s="7" t="inlineStr">
        <is>
          <t>Q2-26: ~70% of deals carried prepayments covering 50-60% of capex =&gt; ~35-42% blended (S2).</t>
        </is>
      </c>
    </row>
    <row r="13">
      <c r="A13" s="5" t="inlineStr">
        <is>
          <t>Debt share of new external funding</t>
        </is>
      </c>
      <c r="B13" s="7" t="inlineStr">
        <is>
          <t>%</t>
        </is>
      </c>
      <c r="C13" s="43" t="n">
        <v>0.45</v>
      </c>
      <c r="D13" s="43" t="n">
        <v>0.6</v>
      </c>
      <c r="E13" s="43" t="n">
        <v>0.7</v>
      </c>
      <c r="F13" s="42">
        <f>CHOOSE($C$4,C13,D13,E13)</f>
        <v/>
      </c>
      <c r="H13" s="7" t="inlineStr">
        <is>
          <t>Remainder funded with ATM equity. Bear assumes tighter credit markets.</t>
        </is>
      </c>
    </row>
    <row r="14">
      <c r="A14" s="5" t="inlineStr">
        <is>
          <t>Exit EV / EBITDA multiple (FY2029E)</t>
        </is>
      </c>
      <c r="B14" s="7" t="inlineStr">
        <is>
          <t>x</t>
        </is>
      </c>
      <c r="C14" s="47" t="n">
        <v>6</v>
      </c>
      <c r="D14" s="47" t="n">
        <v>7</v>
      </c>
      <c r="E14" s="47" t="n">
        <v>8.5</v>
      </c>
      <c r="F14" s="48">
        <f>CHOOSE($C$4,C14,D14,E14)</f>
        <v/>
      </c>
      <c r="H14" s="7" t="inlineStr">
        <is>
          <t>Below today's peers (CRWV ~8.7x FY26E, ORCL ~11x FY27E) because growth slows by 2029 and ~5-yr GPU lives make EBITDA overstate cash earnings. At 7x the implied perpetual growth is still ~6.5% (Valuation Gordon check).</t>
        </is>
      </c>
    </row>
    <row r="15">
      <c r="A15" s="5" t="inlineStr">
        <is>
          <t>WACC adjustment</t>
        </is>
      </c>
      <c r="B15" s="7" t="inlineStr">
        <is>
          <t>pts</t>
        </is>
      </c>
      <c r="C15" s="43" t="n">
        <v>0.01</v>
      </c>
      <c r="D15" s="43" t="n">
        <v>0</v>
      </c>
      <c r="E15" s="43" t="n">
        <v>-0.005</v>
      </c>
      <c r="F15" s="42">
        <f>CHOOSE($C$4,C15,D15,E15)</f>
        <v/>
      </c>
      <c r="H15" s="7" t="inlineStr">
        <is>
          <t>Bear adds financing/execution risk premium.</t>
        </is>
      </c>
    </row>
    <row r="17">
      <c r="A17" s="3" t="inlineStr">
        <is>
          <t>Live outputs - active scenario (formulas)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13" t="inlineStr">
        <is>
          <t>Metric</t>
        </is>
      </c>
      <c r="B18" s="13" t="inlineStr">
        <is>
          <t>Unit</t>
        </is>
      </c>
      <c r="C18" s="13" t="inlineStr">
        <is>
          <t>FY2026E</t>
        </is>
      </c>
      <c r="D18" s="13" t="inlineStr">
        <is>
          <t>FY2027E</t>
        </is>
      </c>
      <c r="E18" s="13" t="inlineStr">
        <is>
          <t>FY2028E</t>
        </is>
      </c>
      <c r="F18" s="13" t="inlineStr">
        <is>
          <t>FY2029E</t>
        </is>
      </c>
      <c r="G18" s="13" t="inlineStr"/>
      <c r="H18" s="13" t="inlineStr">
        <is>
          <t>Note</t>
        </is>
      </c>
    </row>
    <row r="19">
      <c r="A19" s="5" t="inlineStr">
        <is>
          <t>Revenue</t>
        </is>
      </c>
      <c r="B19" s="7" t="inlineStr">
        <is>
          <t>$M</t>
        </is>
      </c>
      <c r="C19" s="12">
        <f>'Income Statement'!N7</f>
        <v/>
      </c>
      <c r="D19" s="12">
        <f>'Income Statement'!O7</f>
        <v/>
      </c>
      <c r="E19" s="12">
        <f>'Income Statement'!P7</f>
        <v/>
      </c>
      <c r="F19" s="12">
        <f>'Income Statement'!Q7</f>
        <v/>
      </c>
    </row>
    <row r="20">
      <c r="A20" s="5" t="inlineStr">
        <is>
          <t>Adj. EBITDA</t>
        </is>
      </c>
      <c r="B20" s="7" t="inlineStr">
        <is>
          <t>$M</t>
        </is>
      </c>
      <c r="C20" s="12">
        <f>'Income Statement'!N11</f>
        <v/>
      </c>
      <c r="D20" s="12">
        <f>'Income Statement'!O11</f>
        <v/>
      </c>
      <c r="E20" s="12">
        <f>'Income Statement'!P11</f>
        <v/>
      </c>
      <c r="F20" s="12">
        <f>'Income Statement'!Q11</f>
        <v/>
      </c>
    </row>
    <row r="21">
      <c r="A21" s="5" t="inlineStr">
        <is>
          <t>Adj. EBITDA margin</t>
        </is>
      </c>
      <c r="B21" s="7" t="inlineStr">
        <is>
          <t>%</t>
        </is>
      </c>
      <c r="C21" s="14">
        <f>'Income Statement'!N12</f>
        <v/>
      </c>
      <c r="D21" s="14">
        <f>'Income Statement'!O12</f>
        <v/>
      </c>
      <c r="E21" s="14">
        <f>'Income Statement'!P12</f>
        <v/>
      </c>
      <c r="F21" s="14">
        <f>'Income Statement'!Q12</f>
        <v/>
      </c>
    </row>
    <row r="22">
      <c r="A22" s="5" t="inlineStr">
        <is>
          <t>Net income</t>
        </is>
      </c>
      <c r="B22" s="7" t="inlineStr">
        <is>
          <t>$M</t>
        </is>
      </c>
      <c r="C22" s="12">
        <f>'Income Statement'!N22</f>
        <v/>
      </c>
      <c r="D22" s="12">
        <f>'Income Statement'!O22</f>
        <v/>
      </c>
      <c r="E22" s="12">
        <f>'Income Statement'!P22</f>
        <v/>
      </c>
      <c r="F22" s="12">
        <f>'Income Statement'!Q22</f>
        <v/>
      </c>
    </row>
    <row r="23">
      <c r="A23" s="5" t="inlineStr">
        <is>
          <t>Capex</t>
        </is>
      </c>
      <c r="B23" s="7" t="inlineStr">
        <is>
          <t>$M</t>
        </is>
      </c>
      <c r="C23" s="12">
        <f>'Capex &amp; Funding'!N6</f>
        <v/>
      </c>
      <c r="D23" s="12">
        <f>'Capex &amp; Funding'!O6</f>
        <v/>
      </c>
      <c r="E23" s="12">
        <f>'Capex &amp; Funding'!P6</f>
        <v/>
      </c>
      <c r="F23" s="12">
        <f>'Capex &amp; Funding'!Q6</f>
        <v/>
      </c>
    </row>
    <row r="24">
      <c r="A24" s="5" t="inlineStr">
        <is>
          <t>Free cash flow (CFO - capex)</t>
        </is>
      </c>
      <c r="B24" s="7" t="inlineStr">
        <is>
          <t>$M</t>
        </is>
      </c>
      <c r="C24" s="12">
        <f>'Cash Flow'!N27</f>
        <v/>
      </c>
      <c r="D24" s="12">
        <f>'Cash Flow'!O27</f>
        <v/>
      </c>
      <c r="E24" s="12">
        <f>'Cash Flow'!P27</f>
        <v/>
      </c>
      <c r="F24" s="12">
        <f>'Cash Flow'!Q27</f>
        <v/>
      </c>
    </row>
    <row r="25">
      <c r="A25" s="5" t="inlineStr">
        <is>
          <t>Exit ARR (year-end)</t>
        </is>
      </c>
      <c r="B25" s="7" t="inlineStr">
        <is>
          <t>$M</t>
        </is>
      </c>
      <c r="C25" s="12">
        <f>'Drivers'!N28</f>
        <v/>
      </c>
      <c r="D25" s="12">
        <f>'Drivers'!O28</f>
        <v/>
      </c>
      <c r="E25" s="12">
        <f>'Drivers'!P28</f>
        <v/>
      </c>
      <c r="F25" s="12">
        <f>'Drivers'!Q28</f>
        <v/>
      </c>
    </row>
    <row r="26">
      <c r="A26" s="5" t="inlineStr">
        <is>
          <t>Revenue-generating MW (year-end)</t>
        </is>
      </c>
      <c r="B26" s="7" t="inlineStr">
        <is>
          <t>MW</t>
        </is>
      </c>
      <c r="C26" s="12">
        <f>'Drivers'!N18</f>
        <v/>
      </c>
      <c r="D26" s="12">
        <f>'Drivers'!O18</f>
        <v/>
      </c>
      <c r="E26" s="12">
        <f>'Drivers'!P18</f>
        <v/>
      </c>
      <c r="F26" s="12">
        <f>'Drivers'!Q18</f>
        <v/>
      </c>
    </row>
    <row r="27">
      <c r="A27" s="5" t="inlineStr">
        <is>
          <t>New debt raised</t>
        </is>
      </c>
      <c r="B27" s="7" t="inlineStr">
        <is>
          <t>$M</t>
        </is>
      </c>
      <c r="C27" s="12">
        <f>'Capex &amp; Funding'!N34</f>
        <v/>
      </c>
      <c r="D27" s="12">
        <f>'Capex &amp; Funding'!O34</f>
        <v/>
      </c>
      <c r="E27" s="12">
        <f>'Capex &amp; Funding'!P34</f>
        <v/>
      </c>
      <c r="F27" s="12">
        <f>'Capex &amp; Funding'!Q34</f>
        <v/>
      </c>
      <c r="H27" s="7" t="inlineStr">
        <is>
          <t>FY2026E = H2 only (H1 actual financing shown on Cash Flow).</t>
        </is>
      </c>
    </row>
    <row r="28">
      <c r="A28" s="5" t="inlineStr">
        <is>
          <t>New equity raised</t>
        </is>
      </c>
      <c r="B28" s="7" t="inlineStr">
        <is>
          <t>$M</t>
        </is>
      </c>
      <c r="C28" s="12">
        <f>'Capex &amp; Funding'!N35</f>
        <v/>
      </c>
      <c r="D28" s="12">
        <f>'Capex &amp; Funding'!O35</f>
        <v/>
      </c>
      <c r="E28" s="12">
        <f>'Capex &amp; Funding'!P35</f>
        <v/>
      </c>
      <c r="F28" s="12">
        <f>'Capex &amp; Funding'!Q35</f>
        <v/>
      </c>
    </row>
    <row r="29">
      <c r="A29" s="5" t="inlineStr">
        <is>
          <t>Net debt (year-end)</t>
        </is>
      </c>
      <c r="B29" s="7" t="inlineStr">
        <is>
          <t>$M</t>
        </is>
      </c>
      <c r="C29" s="12">
        <f>'Balance Sheet'!N26</f>
        <v/>
      </c>
      <c r="D29" s="12">
        <f>'Balance Sheet'!O26</f>
        <v/>
      </c>
      <c r="E29" s="12">
        <f>'Balance Sheet'!P26</f>
        <v/>
      </c>
      <c r="F29" s="12">
        <f>'Balance Sheet'!Q26</f>
        <v/>
      </c>
    </row>
    <row r="30">
      <c r="A30" s="8" t="inlineStr">
        <is>
          <t>DCF value per share ($)</t>
        </is>
      </c>
      <c r="C30" s="41">
        <f>'Valuation'!B70</f>
        <v/>
      </c>
    </row>
    <row r="31">
      <c r="A31" s="8" t="inlineStr">
        <is>
          <t>Upside / (downside) vs price</t>
        </is>
      </c>
      <c r="C31" s="42">
        <f>'Valuation'!B71</f>
        <v/>
      </c>
    </row>
    <row r="32">
      <c r="A32" s="5" t="inlineStr">
        <is>
          <t>Cumulative new external funding Q3'26-FY29 (debt + equity)</t>
        </is>
      </c>
      <c r="C32" s="12">
        <f>SUM('Capex &amp; Funding'!D33:'Capex &amp; Funding'!K33)</f>
        <v/>
      </c>
    </row>
    <row r="33">
      <c r="A33" s="5" t="inlineStr">
        <is>
          <t>Cumulative ATM dilution by FY2029E</t>
        </is>
      </c>
      <c r="C33" s="11">
        <f>'Capex &amp; Funding'!K41</f>
        <v/>
      </c>
    </row>
    <row r="35">
      <c r="A35" s="3" t="inlineStr">
        <is>
          <t>Scenario snapshot - STATIC values from recalculating the workbook under each scenario (refresh by toggling C4)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13" t="inlineStr">
        <is>
          <t>Metric</t>
        </is>
      </c>
      <c r="B36" s="13" t="inlineStr">
        <is>
          <t>Unit</t>
        </is>
      </c>
      <c r="C36" s="13" t="inlineStr">
        <is>
          <t>Bear</t>
        </is>
      </c>
      <c r="D36" s="13" t="inlineStr">
        <is>
          <t>Base</t>
        </is>
      </c>
      <c r="E36" s="13" t="inlineStr">
        <is>
          <t>Bull</t>
        </is>
      </c>
      <c r="F36" s="13" t="inlineStr"/>
      <c r="G36" s="13" t="inlineStr"/>
      <c r="H36" s="13" t="inlineStr">
        <is>
          <t>Note</t>
        </is>
      </c>
    </row>
    <row r="37">
      <c r="A37" s="5" t="inlineStr">
        <is>
          <t>FY2026E revenue</t>
        </is>
      </c>
      <c r="B37" s="7" t="inlineStr">
        <is>
          <t>$M</t>
        </is>
      </c>
      <c r="C37" s="49" t="n">
        <v>2789.031520394738</v>
      </c>
      <c r="D37" s="49" t="n">
        <v>3317.681381578947</v>
      </c>
      <c r="E37" s="49" t="n">
        <v>3677.78993381579</v>
      </c>
      <c r="H37" s="7" t="inlineStr">
        <is>
          <t>Grey italic = pasted values (not formulas). The check below confirms the live model matches the snapshot for the active scenario.</t>
        </is>
      </c>
    </row>
    <row r="38">
      <c r="A38" s="5" t="inlineStr">
        <is>
          <t>FY2027E revenue</t>
        </is>
      </c>
      <c r="B38" s="7" t="inlineStr">
        <is>
          <t>$M</t>
        </is>
      </c>
      <c r="C38" s="49" t="n">
        <v>8725.217047368425</v>
      </c>
      <c r="D38" s="49" t="n">
        <v>12776.43578947369</v>
      </c>
      <c r="E38" s="49" t="n">
        <v>15940.33814789474</v>
      </c>
    </row>
    <row r="39">
      <c r="A39" s="5" t="inlineStr">
        <is>
          <t>FY2029E revenue</t>
        </is>
      </c>
      <c r="B39" s="7" t="inlineStr">
        <is>
          <t>$M</t>
        </is>
      </c>
      <c r="C39" s="49" t="n">
        <v>25026.40800000001</v>
      </c>
      <c r="D39" s="49" t="n">
        <v>38721.6</v>
      </c>
      <c r="E39" s="49" t="n">
        <v>49769.89320000001</v>
      </c>
    </row>
    <row r="40">
      <c r="A40" s="5" t="inlineStr">
        <is>
          <t>FY2027E adj. EBITDA</t>
        </is>
      </c>
      <c r="B40" s="7" t="inlineStr">
        <is>
          <t>$M</t>
        </is>
      </c>
      <c r="C40" s="49" t="n">
        <v>4392.55954807895</v>
      </c>
      <c r="D40" s="49" t="n">
        <v>6821.808150000002</v>
      </c>
      <c r="E40" s="49" t="n">
        <v>8834.466181757896</v>
      </c>
    </row>
    <row r="41">
      <c r="A41" s="5" t="inlineStr">
        <is>
          <t>FY2029E adj. EBITDA</t>
        </is>
      </c>
      <c r="B41" s="7" t="inlineStr">
        <is>
          <t>$M</t>
        </is>
      </c>
      <c r="C41" s="49" t="n">
        <v>14515.31664</v>
      </c>
      <c r="D41" s="49" t="n">
        <v>23620.176</v>
      </c>
      <c r="E41" s="49" t="n">
        <v>31355.032716</v>
      </c>
    </row>
    <row r="42">
      <c r="A42" s="5" t="inlineStr">
        <is>
          <t>YE26 exit ARR</t>
        </is>
      </c>
      <c r="B42" s="7" t="inlineStr">
        <is>
          <t>$M</t>
        </is>
      </c>
      <c r="C42" s="49" t="n">
        <v>5391.216710526317</v>
      </c>
      <c r="D42" s="49" t="n">
        <v>7494.986842105263</v>
      </c>
      <c r="E42" s="49" t="n">
        <v>9066.785368421055</v>
      </c>
    </row>
    <row r="43">
      <c r="A43" s="5" t="inlineStr">
        <is>
          <t>Capex Q3'26-FY29</t>
        </is>
      </c>
      <c r="B43" s="7" t="inlineStr">
        <is>
          <t>$M</t>
        </is>
      </c>
      <c r="C43" s="49" t="n">
        <v>92342.25000000001</v>
      </c>
      <c r="D43" s="49" t="n">
        <v>117260</v>
      </c>
      <c r="E43" s="49" t="n">
        <v>133676.4</v>
      </c>
    </row>
    <row r="44">
      <c r="A44" s="5" t="inlineStr">
        <is>
          <t>New external funding Q3'26-FY29</t>
        </is>
      </c>
      <c r="B44" s="7" t="inlineStr">
        <is>
          <t>$M</t>
        </is>
      </c>
      <c r="C44" s="49" t="n">
        <v>38927.61295609198</v>
      </c>
      <c r="D44" s="49" t="n">
        <v>34067.86025438554</v>
      </c>
      <c r="E44" s="49" t="n">
        <v>22920.0630020322</v>
      </c>
    </row>
    <row r="45">
      <c r="A45" s="5" t="inlineStr">
        <is>
          <t>ATM dilution by FY29</t>
        </is>
      </c>
      <c r="B45" s="7" t="inlineStr">
        <is>
          <t>%</t>
        </is>
      </c>
      <c r="C45" s="50" t="n">
        <v>0.3728330778380115</v>
      </c>
      <c r="D45" s="50" t="n">
        <v>0.2373005918974323</v>
      </c>
      <c r="E45" s="50" t="n">
        <v>0.119737733954289</v>
      </c>
    </row>
    <row r="46">
      <c r="A46" s="5" t="inlineStr">
        <is>
          <t>DCF value per share</t>
        </is>
      </c>
      <c r="B46" s="7" t="inlineStr">
        <is>
          <t>$</t>
        </is>
      </c>
      <c r="C46" s="51" t="n">
        <v>72.30143964142034</v>
      </c>
      <c r="D46" s="51" t="n">
        <v>232.8178262277168</v>
      </c>
      <c r="E46" s="51" t="n">
        <v>456.5289009833872</v>
      </c>
    </row>
    <row r="47">
      <c r="A47" s="5" t="inlineStr">
        <is>
          <t>Upside / (downside)</t>
        </is>
      </c>
      <c r="B47" s="7" t="inlineStr">
        <is>
          <t>%</t>
        </is>
      </c>
      <c r="C47" s="50" t="n">
        <v>-0.6113034802353619</v>
      </c>
      <c r="D47" s="50" t="n">
        <v>0.2516414506086595</v>
      </c>
      <c r="E47" s="50" t="n">
        <v>1.454324503969611</v>
      </c>
    </row>
    <row r="48">
      <c r="A48" s="8" t="inlineStr">
        <is>
          <t>Check: live value/share - snapshot for active scenario (0 = consistent)</t>
        </is>
      </c>
      <c r="C48" s="9">
        <f>IF(ISNUMBER(C46),ROUND(C30-CHOOSE($C$4,C46,D46,E46),2),0)</f>
        <v/>
      </c>
    </row>
    <row r="50">
      <c r="A50" s="3" t="inlineStr">
        <is>
          <t>What moves EV most - one-at-a-time sensitivities around Base (STATIC values from workbook recalculation)</t>
        </is>
      </c>
      <c r="B50" s="4" t="n"/>
      <c r="C50" s="4" t="n"/>
      <c r="D50" s="4" t="n"/>
      <c r="E50" s="4" t="n"/>
      <c r="F50" s="4" t="n"/>
      <c r="G50" s="4" t="n"/>
      <c r="H50" s="4" t="n"/>
    </row>
    <row r="51">
      <c r="A51" s="13" t="inlineStr">
        <is>
          <t>Driver flex</t>
        </is>
      </c>
      <c r="B51" s="13" t="inlineStr"/>
      <c r="C51" s="13" t="inlineStr">
        <is>
          <t>Value/share</t>
        </is>
      </c>
      <c r="D51" s="13" t="inlineStr">
        <is>
          <t>Change vs base</t>
        </is>
      </c>
      <c r="E51" s="13" t="inlineStr">
        <is>
          <t>% change</t>
        </is>
      </c>
      <c r="F51" s="13" t="inlineStr"/>
      <c r="G51" s="13" t="inlineStr"/>
      <c r="H51" s="13" t="inlineStr">
        <is>
          <t>Note</t>
        </is>
      </c>
    </row>
    <row r="52">
      <c r="A52" s="5" t="inlineStr">
        <is>
          <t>Exit multiple 6x / 8x (low case)</t>
        </is>
      </c>
      <c r="C52" s="51" t="n">
        <v>187.6288299098087</v>
      </c>
      <c r="D52" s="51" t="n">
        <v>-45.18899631790805</v>
      </c>
      <c r="E52" s="50" t="n">
        <v>-0.1940959463890414</v>
      </c>
    </row>
    <row r="53">
      <c r="A53" s="5" t="inlineStr">
        <is>
          <t>Exit multiple 6x / 8x (high case)</t>
        </is>
      </c>
      <c r="C53" s="51" t="n">
        <v>278.0068225456248</v>
      </c>
      <c r="D53" s="51" t="n">
        <v>45.18899631790805</v>
      </c>
      <c r="E53" s="50" t="n">
        <v>0.1940959463890413</v>
      </c>
    </row>
    <row r="54">
      <c r="A54" s="5" t="inlineStr">
        <is>
          <t>Price per GPU-hour -10% / +10% (low case)</t>
        </is>
      </c>
      <c r="C54" s="51" t="n">
        <v>193.8315892034553</v>
      </c>
      <c r="D54" s="51" t="n">
        <v>-38.98623702426144</v>
      </c>
      <c r="E54" s="50" t="n">
        <v>-0.1674538314180866</v>
      </c>
    </row>
    <row r="55">
      <c r="A55" s="5" t="inlineStr">
        <is>
          <t>Price per GPU-hour -10% / +10% (high case)</t>
        </is>
      </c>
      <c r="C55" s="51" t="n">
        <v>271.8040632519784</v>
      </c>
      <c r="D55" s="51" t="n">
        <v>38.98623702426164</v>
      </c>
      <c r="E55" s="50" t="n">
        <v>0.1674538314180873</v>
      </c>
    </row>
    <row r="56">
      <c r="A56" s="5" t="inlineStr">
        <is>
          <t>Capacity build-out -20% / +20% (low case)</t>
        </is>
      </c>
      <c r="C56" s="51" t="n">
        <v>196.4626965841937</v>
      </c>
      <c r="D56" s="51" t="n">
        <v>-36.35512964352307</v>
      </c>
      <c r="E56" s="50" t="n">
        <v>-0.1561526891328523</v>
      </c>
    </row>
    <row r="57">
      <c r="A57" s="5" t="inlineStr">
        <is>
          <t>Capacity build-out -20% / +20% (high case)</t>
        </is>
      </c>
      <c r="C57" s="51" t="n">
        <v>269.1729558712402</v>
      </c>
      <c r="D57" s="51" t="n">
        <v>36.35512964352341</v>
      </c>
      <c r="E57" s="50" t="n">
        <v>0.1561526891328537</v>
      </c>
    </row>
    <row r="58">
      <c r="A58" s="5" t="inlineStr">
        <is>
          <t>Billable utilization -5 pts / +5 pts (low case)</t>
        </is>
      </c>
      <c r="C58" s="51" t="n">
        <v>211.1588056586826</v>
      </c>
      <c r="D58" s="51" t="n">
        <v>-21.65902056903417</v>
      </c>
      <c r="E58" s="50" t="n">
        <v>-0.0930299063433816</v>
      </c>
    </row>
    <row r="59">
      <c r="A59" s="5" t="inlineStr">
        <is>
          <t>Billable utilization -5 pts / +5 pts (high case)</t>
        </is>
      </c>
      <c r="C59" s="51" t="n">
        <v>254.476846796751</v>
      </c>
      <c r="D59" s="51" t="n">
        <v>21.65902056903425</v>
      </c>
      <c r="E59" s="50" t="n">
        <v>0.09302990634338193</v>
      </c>
    </row>
    <row r="60">
      <c r="A60" s="5" t="inlineStr">
        <is>
          <t>Prepayments 30% / 50% of capex (low case)</t>
        </is>
      </c>
      <c r="C60" s="51" t="n">
        <v>212.5561695056686</v>
      </c>
      <c r="D60" s="51" t="n">
        <v>-20.26165672204814</v>
      </c>
      <c r="E60" s="50" t="n">
        <v>-0.08702794390937407</v>
      </c>
    </row>
    <row r="61">
      <c r="A61" s="5" t="inlineStr">
        <is>
          <t>Prepayments 30% / 50% of capex (high case)</t>
        </is>
      </c>
      <c r="C61" s="51" t="n">
        <v>253.0794829497649</v>
      </c>
      <c r="D61" s="51" t="n">
        <v>20.26165672204812</v>
      </c>
      <c r="E61" s="50" t="n">
        <v>0.08702794390937396</v>
      </c>
    </row>
    <row r="62">
      <c r="A62" s="5" t="inlineStr">
        <is>
          <t>Cost of revenue +3 pts / -3 pts (low case)</t>
        </is>
      </c>
      <c r="C62" s="51" t="n">
        <v>212.9326940376374</v>
      </c>
      <c r="D62" s="51" t="n">
        <v>-19.88513219007933</v>
      </c>
      <c r="E62" s="50" t="n">
        <v>-0.08541069432814774</v>
      </c>
    </row>
    <row r="63">
      <c r="A63" s="5" t="inlineStr">
        <is>
          <t>Cost of revenue +3 pts / -3 pts (high case)</t>
        </is>
      </c>
      <c r="C63" s="51" t="n">
        <v>252.7029584177961</v>
      </c>
      <c r="D63" s="51" t="n">
        <v>19.88513219007936</v>
      </c>
      <c r="E63" s="50" t="n">
        <v>0.08541069432814785</v>
      </c>
    </row>
    <row r="64">
      <c r="A64" s="5" t="inlineStr">
        <is>
          <t>Capex per MW +10% / -10% (low case)</t>
        </is>
      </c>
      <c r="C64" s="51" t="n">
        <v>215.3436904182826</v>
      </c>
      <c r="D64" s="51" t="n">
        <v>-17.47413580943413</v>
      </c>
      <c r="E64" s="50" t="n">
        <v>-0.07505497363566505</v>
      </c>
    </row>
    <row r="65">
      <c r="A65" s="5" t="inlineStr">
        <is>
          <t>Capex per MW +10% / -10% (high case)</t>
        </is>
      </c>
      <c r="C65" s="51" t="n">
        <v>250.2919620371509</v>
      </c>
      <c r="D65" s="51" t="n">
        <v>17.47413580943413</v>
      </c>
      <c r="E65" s="50" t="n">
        <v>0.07505497363566516</v>
      </c>
    </row>
    <row r="66">
      <c r="A66" s="5" t="inlineStr">
        <is>
          <t>WACC +1 pt / -1 pt (low case)</t>
        </is>
      </c>
      <c r="C66" s="51" t="n">
        <v>224.4638147052275</v>
      </c>
      <c r="D66" s="51" t="n">
        <v>-8.354011522489287</v>
      </c>
      <c r="E66" s="50" t="n">
        <v>-0.03588218160888723</v>
      </c>
    </row>
    <row r="67">
      <c r="A67" s="5" t="inlineStr">
        <is>
          <t>WACC +1 pt / -1 pt (high case)</t>
        </is>
      </c>
      <c r="C67" s="51" t="n">
        <v>241.5362442331241</v>
      </c>
      <c r="D67" s="51" t="n">
        <v>8.718418005407329</v>
      </c>
      <c r="E67" s="50" t="n">
        <v>0.03744738170040263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14" customWidth="1" min="2" max="2"/>
    <col width="60" customWidth="1" min="3" max="3"/>
  </cols>
  <sheetData>
    <row r="1">
      <c r="A1" s="1" t="inlineStr">
        <is>
          <t>Checks</t>
        </is>
      </c>
    </row>
    <row r="2">
      <c r="A2" s="2" t="inlineStr">
        <is>
          <t>Hard checks must be 0. Guidance-alignment flags are informational (1 = model outside company guidance range).</t>
        </is>
      </c>
    </row>
    <row r="4">
      <c r="A4" s="13" t="inlineStr">
        <is>
          <t>Check</t>
        </is>
      </c>
      <c r="B4" s="13" t="inlineStr">
        <is>
          <t>Result</t>
        </is>
      </c>
      <c r="C4" s="13" t="inlineStr">
        <is>
          <t>Note</t>
        </is>
      </c>
    </row>
    <row r="5">
      <c r="A5" s="3" t="inlineStr">
        <is>
          <t>Hard checks (0 = pass)</t>
        </is>
      </c>
      <c r="B5" s="4" t="n"/>
      <c r="C5" s="4" t="n"/>
    </row>
    <row r="6">
      <c r="A6" s="5" t="inlineStr">
        <is>
          <t>Balance sheet balances - all periods (sum of |differences|)</t>
        </is>
      </c>
      <c r="B6" s="29">
        <f>SUMPRODUCT(ABS('Balance Sheet'!C24:'Balance Sheet'!K24))</f>
        <v/>
      </c>
      <c r="C6" s="7" t="inlineStr"/>
    </row>
    <row r="7">
      <c r="A7" s="5" t="inlineStr">
        <is>
          <t>Opening Jun-26 total assets = reported</t>
        </is>
      </c>
      <c r="B7" s="29">
        <f>ROUND('Balance Sheet'!C13-'Inputs &amp; Sources'!$B$96,1)</f>
        <v/>
      </c>
      <c r="C7" s="7" t="inlineStr"/>
    </row>
    <row r="8">
      <c r="A8" s="5" t="inlineStr">
        <is>
          <t>Cash flow closing cash = balance sheet cash (all periods)</t>
        </is>
      </c>
      <c r="B8" s="29">
        <f>ABS(ROUND('Cash Flow'!D25-'Balance Sheet'!D5,3))+ABS(ROUND('Cash Flow'!E25-'Balance Sheet'!E5,3))+ABS(ROUND('Cash Flow'!F25-'Balance Sheet'!F5,3))+ABS(ROUND('Cash Flow'!G25-'Balance Sheet'!G5,3))+ABS(ROUND('Cash Flow'!H25-'Balance Sheet'!H5,3))+ABS(ROUND('Cash Flow'!I25-'Balance Sheet'!I5,3))+ABS(ROUND('Cash Flow'!J25-'Balance Sheet'!J5,3))+ABS(ROUND('Cash Flow'!K25-'Balance Sheet'!K5,3))</f>
        <v/>
      </c>
      <c r="C8" s="7" t="inlineStr"/>
    </row>
    <row r="9">
      <c r="A9" s="5" t="inlineStr">
        <is>
          <t>FY2026E summary closing cash (H1A + H2E) = Dec-26 balance sheet cash</t>
        </is>
      </c>
      <c r="B9" s="29">
        <f>ROUND('Cash Flow'!N25-'Balance Sheet'!E5,1)</f>
        <v/>
      </c>
      <c r="C9" s="7" t="inlineStr"/>
    </row>
    <row r="10">
      <c r="A10" s="5" t="inlineStr">
        <is>
          <t>Cash never below minimum (count of periods breaching)</t>
        </is>
      </c>
      <c r="B10" s="29">
        <f>IF('Balance Sheet'!D5&lt;'Drivers'!D55-0.01,1,0)+IF('Balance Sheet'!E5&lt;'Drivers'!E55-0.01,1,0)+IF('Balance Sheet'!F5&lt;'Drivers'!F55-0.01,1,0)+IF('Balance Sheet'!G5&lt;'Drivers'!G55-0.01,1,0)+IF('Balance Sheet'!H5&lt;'Drivers'!H55-0.01,1,0)+IF('Balance Sheet'!I5&lt;'Drivers'!I55-0.01,1,0)+IF('Balance Sheet'!J5&lt;'Drivers'!J55-0.01,1,0)+IF('Balance Sheet'!K5&lt;'Drivers'!K55-0.01,1,0)</f>
        <v/>
      </c>
      <c r="C10" s="7" t="inlineStr"/>
    </row>
    <row r="11">
      <c r="A11" s="5" t="inlineStr">
        <is>
          <t>H1'26A net income in FY2026E summary ties to reported</t>
        </is>
      </c>
      <c r="B11" s="29">
        <f>'Income Statement'!N27</f>
        <v/>
      </c>
      <c r="C11" s="7" t="inlineStr"/>
    </row>
    <row r="12">
      <c r="A12" s="5" t="inlineStr">
        <is>
          <t>Historical operating loss recomputed = reported (sum of |diff|)</t>
        </is>
      </c>
      <c r="B12" s="29">
        <f>SUMPRODUCT(ABS('Historical'!B15:'Historical'!I15))</f>
        <v/>
      </c>
      <c r="C12" s="7" t="inlineStr"/>
    </row>
    <row r="13">
      <c r="A13" s="5" t="inlineStr">
        <is>
          <t>Historical net income recomputed = reported (sum of |diff|)</t>
        </is>
      </c>
      <c r="B13" s="29">
        <f>SUMPRODUCT(ABS('Historical'!B21:'Historical'!I21))</f>
        <v/>
      </c>
      <c r="C13" s="7" t="inlineStr"/>
    </row>
    <row r="14">
      <c r="A14" s="5" t="inlineStr">
        <is>
          <t>FY2025 = sum of quarters (revenue, EBITDA, capex, CFO, SBC)</t>
        </is>
      </c>
      <c r="B14" s="29">
        <f>ABS('Historical'!I41)+ABS('Historical'!I42)+ABS('Historical'!I43)+ABS('Historical'!I44)+ABS('Historical'!I45)</f>
        <v/>
      </c>
      <c r="C14" s="7" t="inlineStr"/>
    </row>
    <row r="15">
      <c r="A15" s="5" t="inlineStr">
        <is>
          <t>Capex sources &amp; uses balance</t>
        </is>
      </c>
      <c r="B15" s="29">
        <f>'Capex &amp; Funding'!C67</f>
        <v/>
      </c>
      <c r="C15" s="7" t="inlineStr"/>
    </row>
    <row r="16">
      <c r="A16" s="5" t="inlineStr">
        <is>
          <t>Jun-26 modelled ARR = disclosed ARR</t>
        </is>
      </c>
      <c r="B16" s="29">
        <f>ROUND('Drivers'!C28-'Inputs &amp; Sources'!$B$12,1)</f>
        <v/>
      </c>
      <c r="C16" s="7" t="inlineStr"/>
    </row>
    <row r="17">
      <c r="A17" s="5" t="inlineStr">
        <is>
          <t>IS revenue = Drivers revenue (all forecast periods)</t>
        </is>
      </c>
      <c r="B17" s="29">
        <f>ABS(ROUND('Income Statement'!D7-'Drivers'!D26,3))+ABS(ROUND('Income Statement'!E7-'Drivers'!E26,3))+ABS(ROUND('Income Statement'!F7-'Drivers'!F26,3))+ABS(ROUND('Income Statement'!G7-'Drivers'!G26,3))+ABS(ROUND('Income Statement'!H7-'Drivers'!H26,3))+ABS(ROUND('Income Statement'!I7-'Drivers'!I26,3))+ABS(ROUND('Income Statement'!J7-'Drivers'!J26,3))+ABS(ROUND('Income Statement'!K7-'Drivers'!K26,3))</f>
        <v/>
      </c>
      <c r="C17" s="7" t="inlineStr"/>
    </row>
    <row r="18">
      <c r="A18" s="5" t="inlineStr">
        <is>
          <t>FY2027E summary = sum of four 2027 quarters (revenue)</t>
        </is>
      </c>
      <c r="B18" s="29">
        <f>ROUND('Income Statement'!O7-SUM('Income Statement'!F7:'Income Statement'!I7),3)</f>
        <v/>
      </c>
      <c r="C18" s="7" t="inlineStr"/>
    </row>
    <row r="19">
      <c r="A19" s="5" t="inlineStr">
        <is>
          <t>Scenario selector is 1, 2 or 3</t>
        </is>
      </c>
      <c r="B19" s="29">
        <f>IF(OR('Scenarios'!$C$4=1,'Scenarios'!$C$4=2,'Scenarios'!$C$4=3),0,1)</f>
        <v/>
      </c>
      <c r="C19" s="7" t="inlineStr"/>
    </row>
    <row r="20">
      <c r="A20" s="5" t="inlineStr">
        <is>
          <t>Scenario snapshot consistent with live model</t>
        </is>
      </c>
      <c r="B20" s="29">
        <f>ABS('Scenarios'!C48)</f>
        <v/>
      </c>
      <c r="C20" s="7" t="inlineStr"/>
    </row>
    <row r="21">
      <c r="A21" s="5" t="inlineStr">
        <is>
          <t>Formula errors in key output ranges (count)</t>
        </is>
      </c>
      <c r="B21" s="29">
        <f>SUMPRODUCT(--ISERROR('Balance Sheet'!C5:Q27))+SUMPRODUCT(--ISERROR('Income Statement'!D5:Q26))+SUMPRODUCT(--ISERROR('Cash Flow'!D5:Q28))+SUMPRODUCT(--ISERROR('Valuation'!B4:M86))</f>
        <v/>
      </c>
      <c r="C21" s="7" t="inlineStr"/>
    </row>
    <row r="23">
      <c r="A23" s="8" t="inlineStr">
        <is>
          <t>TOTAL HARD CHECK (must be 0)</t>
        </is>
      </c>
      <c r="B23" s="32">
        <f>ABS(B6)+ABS(B7)+ABS(B8)+ABS(B9)+ABS(B10)+ABS(B11)+ABS(B12)+ABS(B13)+ABS(B14)+ABS(B15)+ABS(B16)+ABS(B17)+ABS(B18)+ABS(B19)+ABS(B20)+ABS(B21)</f>
        <v/>
      </c>
      <c r="C23" s="8">
        <f>IF(B23=0,"OK - model ties","ERROR - investigate")</f>
        <v/>
      </c>
    </row>
    <row r="25">
      <c r="A25" s="3" t="inlineStr">
        <is>
          <t>Guidance alignment flags (informational; 1 = outside company guidance)</t>
        </is>
      </c>
      <c r="B25" s="4" t="n"/>
      <c r="C25" s="4" t="n"/>
    </row>
    <row r="26">
      <c r="A26" s="5" t="inlineStr">
        <is>
          <t>FY2026E revenue within $3.0-3.4B guidance</t>
        </is>
      </c>
      <c r="B26" s="34">
        <f>IF(AND('Income Statement'!N7&gt;='Inputs &amp; Sources'!$B$33,'Income Statement'!N7&lt;='Inputs &amp; Sources'!$B$34),0,1)</f>
        <v/>
      </c>
      <c r="C26" s="7" t="inlineStr">
        <is>
          <t>Expected to flag in Bear/Bull.</t>
        </is>
      </c>
    </row>
    <row r="27">
      <c r="A27" s="5" t="inlineStr">
        <is>
          <t>FY2026E adj. EBITDA margin within +/-3pts of ~40%</t>
        </is>
      </c>
      <c r="B27" s="34">
        <f>IF(ABS('Income Statement'!N12-'Inputs &amp; Sources'!$B$35)&lt;=0.03,0,1)</f>
        <v/>
      </c>
      <c r="C27" s="7" t="inlineStr"/>
    </row>
    <row r="28">
      <c r="A28" s="5" t="inlineStr">
        <is>
          <t>FY2026E capex within $20-25B guidance</t>
        </is>
      </c>
      <c r="B28" s="34">
        <f>IF(AND('Capex &amp; Funding'!N6&gt;='Inputs &amp; Sources'!$B$36,'Capex &amp; Funding'!N6&lt;='Inputs &amp; Sources'!$B$37),0,1)</f>
        <v/>
      </c>
      <c r="C28" s="7" t="inlineStr"/>
    </row>
    <row r="29">
      <c r="A29" s="5" t="inlineStr">
        <is>
          <t>YE26 exit ARR within $7-9B target</t>
        </is>
      </c>
      <c r="B29" s="34">
        <f>IF(AND('Drivers'!E28&gt;='Inputs &amp; Sources'!$B$38,'Drivers'!E28&lt;='Inputs &amp; Sources'!$B$39),0,1)</f>
        <v/>
      </c>
      <c r="C29" s="7" t="inlineStr"/>
    </row>
    <row r="30">
      <c r="A30" s="5" t="inlineStr">
        <is>
          <t>2026 prepayments: H1 net + H2E received &gt; $9B</t>
        </is>
      </c>
      <c r="B30" s="34">
        <f>IF(('Inputs &amp; Sources'!$F$71+'Inputs &amp; Sources'!$G$71+'Capex &amp; Funding'!N12)&gt;'Inputs &amp; Sources'!$B$43,0,1)</f>
        <v/>
      </c>
      <c r="C30" s="7" t="inlineStr">
        <is>
          <t>H1 uses net change (conservative).</t>
        </is>
      </c>
    </row>
    <row r="31">
      <c r="A31" s="5" t="inlineStr">
        <is>
          <t>Revenue per MW below new-deal ACV ceiling ($25M/MW) in all periods</t>
        </is>
      </c>
      <c r="B31" s="34">
        <f>IF('Drivers'!D27&gt;'Inputs &amp; Sources'!$B$45,1,0)+IF('Drivers'!E27&gt;'Inputs &amp; Sources'!$B$45,1,0)+IF('Drivers'!F27&gt;'Inputs &amp; Sources'!$B$45,1,0)+IF('Drivers'!G27&gt;'Inputs &amp; Sources'!$B$45,1,0)+IF('Drivers'!H27&gt;'Inputs &amp; Sources'!$B$45,1,0)+IF('Drivers'!I27&gt;'Inputs &amp; Sources'!$B$45,1,0)+IF('Drivers'!J27&gt;'Inputs &amp; Sources'!$B$45,1,0)+IF('Drivers'!K27&gt;'Inputs &amp; Sources'!$B$45,1,0)</f>
        <v/>
      </c>
      <c r="C31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2026-10-14T23:33:17Z</dcterms:created>
  <dcterms:modified xsi:type="dcterms:W3CDTF">2026-10-14T23:33:17Z</dcterms:modified>
</cp:coreProperties>
</file>